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d2d0d3893c26cc0/Documents/"/>
    </mc:Choice>
  </mc:AlternateContent>
  <xr:revisionPtr revIDLastSave="0" documentId="8_{16D3190C-9BA9-419E-BBF7-1D6F88A6A3BB}" xr6:coauthVersionLast="47" xr6:coauthVersionMax="47" xr10:uidLastSave="{00000000-0000-0000-0000-000000000000}"/>
  <bookViews>
    <workbookView xWindow="-10776" yWindow="0" windowWidth="10872" windowHeight="16296" tabRatio="842" firstSheet="2" activeTab="2" xr2:uid="{3535BFD0-ECEE-4428-9FF5-43173F99865E}"/>
  </bookViews>
  <sheets>
    <sheet name="GroupDraw" sheetId="2" r:id="rId1"/>
    <sheet name="Fixtures" sheetId="1" r:id="rId2"/>
    <sheet name="Results" sheetId="17" r:id="rId3"/>
    <sheet name="Post-Group Draw" sheetId="18" r:id="rId4"/>
    <sheet name="Player List" sheetId="19" r:id="rId5"/>
  </sheets>
  <externalReferences>
    <externalReference r:id="rId6"/>
  </externalReferences>
  <definedNames>
    <definedName name="_xlnm._FilterDatabase" localSheetId="4" hidden="1">'Player List'!$A$1:$B$1</definedName>
    <definedName name="OpenAway" localSheetId="3">[1]Results!$G$3:$G$50</definedName>
    <definedName name="OpenAway">Results!$G$3:$G$66</definedName>
    <definedName name="OpenAwayScore" localSheetId="3">[1]Results!$F$3:$F$50</definedName>
    <definedName name="OpenAwayScore">Results!$F$3:$F$66</definedName>
    <definedName name="OpenHome" localSheetId="3">[1]Results!$C$3:$C$50</definedName>
    <definedName name="OpenHome">Results!$C$3:$C$66</definedName>
    <definedName name="OpenHomeScore" localSheetId="3">[1]Results!$D$3:$D$50</definedName>
    <definedName name="OpenHomeScore">Results!$D$3:$D$66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1" i="17" l="1"/>
  <c r="C62" i="17"/>
  <c r="C63" i="17"/>
  <c r="C64" i="17"/>
  <c r="C65" i="17"/>
  <c r="C66" i="17"/>
  <c r="I69" i="1"/>
  <c r="I62" i="1"/>
  <c r="I60" i="1"/>
  <c r="I70" i="1"/>
  <c r="I63" i="1"/>
  <c r="I68" i="1"/>
  <c r="I67" i="1"/>
  <c r="I65" i="1"/>
  <c r="I64" i="1"/>
  <c r="I61" i="1"/>
  <c r="I66" i="1"/>
  <c r="I59" i="1"/>
  <c r="I47" i="1"/>
  <c r="I55" i="1"/>
  <c r="I54" i="1"/>
  <c r="I56" i="1"/>
  <c r="I53" i="1"/>
  <c r="I50" i="1"/>
  <c r="I51" i="1"/>
  <c r="I46" i="1"/>
  <c r="I45" i="1"/>
  <c r="I49" i="1"/>
  <c r="I48" i="1"/>
  <c r="I31" i="1"/>
  <c r="I35" i="1"/>
  <c r="I36" i="1"/>
  <c r="I38" i="1"/>
  <c r="I34" i="1"/>
  <c r="I33" i="1"/>
  <c r="I32" i="1"/>
  <c r="I40" i="1"/>
  <c r="I41" i="1"/>
  <c r="I39" i="1"/>
  <c r="I37" i="1"/>
  <c r="I42" i="1"/>
  <c r="I52" i="1"/>
  <c r="I28" i="1"/>
  <c r="I27" i="1"/>
  <c r="I23" i="1"/>
  <c r="I17" i="1"/>
  <c r="I26" i="1"/>
  <c r="I24" i="1"/>
  <c r="I22" i="1"/>
  <c r="I20" i="1"/>
  <c r="I18" i="1"/>
  <c r="I21" i="1"/>
  <c r="I25" i="1"/>
  <c r="I19" i="1"/>
  <c r="I10" i="1"/>
  <c r="I12" i="1"/>
  <c r="I14" i="1"/>
  <c r="I6" i="1"/>
  <c r="I8" i="1"/>
  <c r="I13" i="1"/>
  <c r="I7" i="1"/>
  <c r="I4" i="1"/>
  <c r="I5" i="1"/>
  <c r="I11" i="1"/>
  <c r="I9" i="1"/>
  <c r="I3" i="1"/>
  <c r="D109" i="17"/>
  <c r="E109" i="17"/>
  <c r="F109" i="17"/>
  <c r="D110" i="17"/>
  <c r="E110" i="17"/>
  <c r="F110" i="17"/>
  <c r="D111" i="17"/>
  <c r="E111" i="17"/>
  <c r="F111" i="17"/>
  <c r="D112" i="17"/>
  <c r="E112" i="17"/>
  <c r="F112" i="17"/>
  <c r="D105" i="17"/>
  <c r="E105" i="17"/>
  <c r="F105" i="17"/>
  <c r="D106" i="17"/>
  <c r="E106" i="17"/>
  <c r="F106" i="17"/>
  <c r="D107" i="17"/>
  <c r="E107" i="17"/>
  <c r="F107" i="17"/>
  <c r="D108" i="17"/>
  <c r="E108" i="17"/>
  <c r="F108" i="17"/>
  <c r="D100" i="17"/>
  <c r="E100" i="17"/>
  <c r="F100" i="17"/>
  <c r="D101" i="17"/>
  <c r="E101" i="17"/>
  <c r="F101" i="17"/>
  <c r="D102" i="17"/>
  <c r="E102" i="17"/>
  <c r="F102" i="17"/>
  <c r="D117" i="1" l="1"/>
  <c r="D81" i="17"/>
  <c r="E81" i="17"/>
  <c r="F81" i="17"/>
  <c r="D82" i="17"/>
  <c r="E82" i="17"/>
  <c r="F82" i="17"/>
  <c r="D83" i="17"/>
  <c r="E83" i="17"/>
  <c r="F83" i="17"/>
  <c r="D84" i="17"/>
  <c r="E84" i="17"/>
  <c r="F84" i="17"/>
  <c r="D77" i="17"/>
  <c r="E77" i="17"/>
  <c r="F77" i="17"/>
  <c r="D78" i="17"/>
  <c r="E78" i="17"/>
  <c r="F78" i="17"/>
  <c r="D79" i="17"/>
  <c r="E79" i="17"/>
  <c r="F79" i="17"/>
  <c r="D80" i="17"/>
  <c r="E80" i="17"/>
  <c r="F80" i="17"/>
  <c r="D69" i="17"/>
  <c r="E69" i="17"/>
  <c r="F69" i="17"/>
  <c r="D70" i="17"/>
  <c r="E70" i="17"/>
  <c r="F70" i="17"/>
  <c r="D71" i="17"/>
  <c r="E71" i="17"/>
  <c r="F71" i="17"/>
  <c r="D72" i="17"/>
  <c r="E72" i="17"/>
  <c r="F72" i="17"/>
  <c r="D73" i="17"/>
  <c r="E73" i="17"/>
  <c r="F73" i="17"/>
  <c r="D74" i="17"/>
  <c r="E74" i="17"/>
  <c r="F74" i="17"/>
  <c r="D65" i="17"/>
  <c r="E65" i="17"/>
  <c r="F65" i="17"/>
  <c r="D66" i="17"/>
  <c r="E66" i="17"/>
  <c r="F66" i="17"/>
  <c r="D59" i="17"/>
  <c r="E59" i="17"/>
  <c r="F59" i="17"/>
  <c r="D60" i="17"/>
  <c r="E60" i="17"/>
  <c r="F60" i="17"/>
  <c r="D53" i="17"/>
  <c r="E53" i="17"/>
  <c r="F53" i="17"/>
  <c r="D54" i="17"/>
  <c r="E54" i="17"/>
  <c r="F54" i="17"/>
  <c r="D47" i="17"/>
  <c r="E47" i="17"/>
  <c r="F47" i="17"/>
  <c r="D48" i="17"/>
  <c r="E48" i="17"/>
  <c r="F48" i="17"/>
  <c r="D41" i="17"/>
  <c r="E41" i="17"/>
  <c r="F41" i="17"/>
  <c r="D42" i="17"/>
  <c r="E42" i="17"/>
  <c r="F42" i="17"/>
  <c r="D35" i="17"/>
  <c r="E35" i="17"/>
  <c r="F35" i="17"/>
  <c r="D36" i="17"/>
  <c r="E36" i="17"/>
  <c r="F36" i="17"/>
  <c r="D29" i="17"/>
  <c r="E29" i="17"/>
  <c r="F29" i="17"/>
  <c r="D30" i="17"/>
  <c r="E30" i="17"/>
  <c r="F30" i="17"/>
  <c r="D23" i="17"/>
  <c r="E23" i="17"/>
  <c r="F23" i="17"/>
  <c r="D24" i="17"/>
  <c r="E24" i="17"/>
  <c r="F24" i="17"/>
  <c r="D17" i="17"/>
  <c r="E17" i="17"/>
  <c r="F17" i="17"/>
  <c r="D18" i="17"/>
  <c r="E18" i="17"/>
  <c r="F18" i="17"/>
  <c r="D10" i="17"/>
  <c r="E10" i="17"/>
  <c r="F10" i="17"/>
  <c r="D5" i="17"/>
  <c r="E5" i="17"/>
  <c r="F5" i="17"/>
  <c r="D63" i="17"/>
  <c r="E63" i="17"/>
  <c r="F63" i="17"/>
  <c r="D64" i="17"/>
  <c r="E64" i="17"/>
  <c r="F64" i="17"/>
  <c r="D57" i="17"/>
  <c r="E57" i="17"/>
  <c r="F57" i="17"/>
  <c r="D58" i="17"/>
  <c r="E58" i="17"/>
  <c r="F58" i="17"/>
  <c r="D51" i="17"/>
  <c r="E51" i="17"/>
  <c r="F51" i="17"/>
  <c r="D52" i="17"/>
  <c r="E52" i="17"/>
  <c r="F52" i="17"/>
  <c r="D45" i="17"/>
  <c r="E45" i="17"/>
  <c r="F45" i="17"/>
  <c r="D46" i="17"/>
  <c r="E46" i="17"/>
  <c r="F46" i="17"/>
  <c r="D39" i="17"/>
  <c r="E39" i="17"/>
  <c r="F39" i="17"/>
  <c r="D40" i="17"/>
  <c r="E40" i="17"/>
  <c r="F40" i="17"/>
  <c r="D33" i="17"/>
  <c r="E33" i="17"/>
  <c r="F33" i="17"/>
  <c r="D34" i="17"/>
  <c r="E34" i="17"/>
  <c r="F34" i="17"/>
  <c r="D27" i="17"/>
  <c r="E27" i="17"/>
  <c r="F27" i="17"/>
  <c r="D28" i="17"/>
  <c r="E28" i="17"/>
  <c r="F28" i="17"/>
  <c r="D21" i="17"/>
  <c r="E21" i="17"/>
  <c r="F21" i="17"/>
  <c r="D22" i="17"/>
  <c r="E22" i="17"/>
  <c r="F22" i="17"/>
  <c r="D15" i="17"/>
  <c r="E15" i="17"/>
  <c r="F15" i="17"/>
  <c r="D16" i="17"/>
  <c r="E16" i="17"/>
  <c r="F16" i="17"/>
  <c r="D9" i="17"/>
  <c r="E9" i="17"/>
  <c r="F9" i="17"/>
  <c r="D4" i="17"/>
  <c r="E4" i="17"/>
  <c r="F4" i="17"/>
  <c r="D61" i="17"/>
  <c r="E61" i="17"/>
  <c r="F61" i="17"/>
  <c r="D62" i="17"/>
  <c r="E62" i="17"/>
  <c r="F62" i="17"/>
  <c r="D55" i="17"/>
  <c r="E55" i="17"/>
  <c r="F55" i="17"/>
  <c r="D56" i="17"/>
  <c r="E56" i="17"/>
  <c r="F56" i="17"/>
  <c r="D49" i="17"/>
  <c r="E49" i="17"/>
  <c r="F49" i="17"/>
  <c r="D50" i="17"/>
  <c r="E50" i="17"/>
  <c r="F50" i="17"/>
  <c r="D43" i="17"/>
  <c r="E43" i="17"/>
  <c r="F43" i="17"/>
  <c r="D44" i="17"/>
  <c r="E44" i="17"/>
  <c r="F44" i="17"/>
  <c r="D37" i="17"/>
  <c r="E37" i="17"/>
  <c r="F37" i="17"/>
  <c r="D38" i="17"/>
  <c r="E38" i="17"/>
  <c r="F38" i="17"/>
  <c r="D31" i="17"/>
  <c r="E31" i="17"/>
  <c r="F31" i="17"/>
  <c r="D32" i="17"/>
  <c r="E32" i="17"/>
  <c r="F32" i="17"/>
  <c r="D25" i="17"/>
  <c r="E25" i="17"/>
  <c r="F25" i="17"/>
  <c r="D26" i="17"/>
  <c r="E26" i="17"/>
  <c r="F26" i="17"/>
  <c r="D19" i="17"/>
  <c r="E19" i="17"/>
  <c r="F19" i="17"/>
  <c r="D20" i="17"/>
  <c r="E20" i="17"/>
  <c r="F20" i="17"/>
  <c r="D13" i="17"/>
  <c r="E13" i="17"/>
  <c r="F13" i="17"/>
  <c r="D14" i="17"/>
  <c r="E14" i="17"/>
  <c r="F14" i="17"/>
  <c r="D8" i="17"/>
  <c r="E8" i="17"/>
  <c r="F8" i="17"/>
  <c r="D3" i="17"/>
  <c r="E3" i="17"/>
  <c r="F3" i="17"/>
  <c r="H70" i="1"/>
  <c r="G66" i="17" s="1"/>
  <c r="H69" i="1"/>
  <c r="G65" i="17" s="1"/>
  <c r="H68" i="1"/>
  <c r="G60" i="17" s="1"/>
  <c r="H67" i="1"/>
  <c r="G59" i="17" s="1"/>
  <c r="H66" i="1"/>
  <c r="G54" i="17" s="1"/>
  <c r="H65" i="1"/>
  <c r="G53" i="17" s="1"/>
  <c r="H64" i="1"/>
  <c r="G48" i="17" s="1"/>
  <c r="H63" i="1"/>
  <c r="G47" i="17" s="1"/>
  <c r="H62" i="1"/>
  <c r="G42" i="17" s="1"/>
  <c r="H61" i="1"/>
  <c r="G41" i="17" s="1"/>
  <c r="H60" i="1"/>
  <c r="G36" i="17" s="1"/>
  <c r="H59" i="1"/>
  <c r="G35" i="17" s="1"/>
  <c r="D70" i="1"/>
  <c r="D69" i="1"/>
  <c r="D68" i="1"/>
  <c r="C60" i="17" s="1"/>
  <c r="D67" i="1"/>
  <c r="C59" i="17" s="1"/>
  <c r="D66" i="1"/>
  <c r="C54" i="17" s="1"/>
  <c r="D65" i="1"/>
  <c r="C53" i="17" s="1"/>
  <c r="D64" i="1"/>
  <c r="C48" i="17" s="1"/>
  <c r="D63" i="1"/>
  <c r="C47" i="17" s="1"/>
  <c r="D62" i="1"/>
  <c r="C42" i="17" s="1"/>
  <c r="D61" i="1"/>
  <c r="C41" i="17" s="1"/>
  <c r="D60" i="1"/>
  <c r="C36" i="17" s="1"/>
  <c r="D59" i="1"/>
  <c r="C35" i="17" s="1"/>
  <c r="H56" i="1"/>
  <c r="G30" i="17" s="1"/>
  <c r="H55" i="1"/>
  <c r="G29" i="17" s="1"/>
  <c r="H54" i="1"/>
  <c r="G24" i="17" s="1"/>
  <c r="H53" i="1"/>
  <c r="G23" i="17" s="1"/>
  <c r="H52" i="1"/>
  <c r="G18" i="17" s="1"/>
  <c r="H51" i="1"/>
  <c r="G17" i="17" s="1"/>
  <c r="D56" i="1"/>
  <c r="C30" i="17" s="1"/>
  <c r="D55" i="1"/>
  <c r="C29" i="17" s="1"/>
  <c r="D54" i="1"/>
  <c r="C24" i="17" s="1"/>
  <c r="D53" i="1"/>
  <c r="C23" i="17" s="1"/>
  <c r="D52" i="1"/>
  <c r="C18" i="17" s="1"/>
  <c r="D51" i="1"/>
  <c r="C17" i="17" s="1"/>
  <c r="H50" i="1"/>
  <c r="G10" i="17" s="1"/>
  <c r="D50" i="1"/>
  <c r="C10" i="17" s="1"/>
  <c r="H49" i="1"/>
  <c r="G5" i="17" s="1"/>
  <c r="D49" i="1"/>
  <c r="C5" i="17" s="1"/>
  <c r="H48" i="1"/>
  <c r="G64" i="17" s="1"/>
  <c r="H47" i="1"/>
  <c r="G63" i="17" s="1"/>
  <c r="H46" i="1"/>
  <c r="G58" i="17" s="1"/>
  <c r="H45" i="1"/>
  <c r="G57" i="17" s="1"/>
  <c r="D48" i="1"/>
  <c r="D47" i="1"/>
  <c r="D46" i="1"/>
  <c r="C58" i="17" s="1"/>
  <c r="D45" i="1"/>
  <c r="C57" i="17" s="1"/>
  <c r="H42" i="1"/>
  <c r="G52" i="17" s="1"/>
  <c r="H41" i="1"/>
  <c r="G51" i="17" s="1"/>
  <c r="H40" i="1"/>
  <c r="G46" i="17" s="1"/>
  <c r="H39" i="1"/>
  <c r="G45" i="17" s="1"/>
  <c r="H38" i="1"/>
  <c r="G40" i="17" s="1"/>
  <c r="H37" i="1"/>
  <c r="G39" i="17" s="1"/>
  <c r="H36" i="1"/>
  <c r="G34" i="17" s="1"/>
  <c r="H35" i="1"/>
  <c r="G33" i="17" s="1"/>
  <c r="H34" i="1"/>
  <c r="G28" i="17" s="1"/>
  <c r="H33" i="1"/>
  <c r="G27" i="17" s="1"/>
  <c r="H32" i="1"/>
  <c r="G22" i="17" s="1"/>
  <c r="H31" i="1"/>
  <c r="G21" i="17" s="1"/>
  <c r="D42" i="1"/>
  <c r="C52" i="17" s="1"/>
  <c r="D41" i="1"/>
  <c r="C51" i="17" s="1"/>
  <c r="D40" i="1"/>
  <c r="C46" i="17" s="1"/>
  <c r="D39" i="1"/>
  <c r="C45" i="17" s="1"/>
  <c r="D38" i="1"/>
  <c r="C40" i="17" s="1"/>
  <c r="D37" i="1"/>
  <c r="C39" i="17" s="1"/>
  <c r="D36" i="1"/>
  <c r="C34" i="17" s="1"/>
  <c r="D35" i="1"/>
  <c r="C33" i="17" s="1"/>
  <c r="D34" i="1"/>
  <c r="C28" i="17" s="1"/>
  <c r="D33" i="1"/>
  <c r="C27" i="17" s="1"/>
  <c r="D32" i="1"/>
  <c r="C22" i="17" s="1"/>
  <c r="D31" i="1"/>
  <c r="C21" i="17" s="1"/>
  <c r="H28" i="1"/>
  <c r="G16" i="17" s="1"/>
  <c r="H27" i="1"/>
  <c r="G15" i="17" s="1"/>
  <c r="D28" i="1"/>
  <c r="C16" i="17" s="1"/>
  <c r="D27" i="1"/>
  <c r="C15" i="17" s="1"/>
  <c r="H26" i="1"/>
  <c r="G9" i="17" s="1"/>
  <c r="D26" i="1"/>
  <c r="C9" i="17" s="1"/>
  <c r="H25" i="1"/>
  <c r="G4" i="17" s="1"/>
  <c r="D25" i="1"/>
  <c r="C4" i="17" s="1"/>
  <c r="H4" i="1"/>
  <c r="G8" i="17" s="1"/>
  <c r="D4" i="1"/>
  <c r="C8" i="17" s="1"/>
  <c r="H3" i="1"/>
  <c r="G3" i="17" s="1"/>
  <c r="D3" i="1"/>
  <c r="C3" i="17" s="1"/>
  <c r="H24" i="1"/>
  <c r="G62" i="17" s="1"/>
  <c r="H23" i="1"/>
  <c r="G61" i="17" s="1"/>
  <c r="H22" i="1"/>
  <c r="G56" i="17" s="1"/>
  <c r="H21" i="1"/>
  <c r="G55" i="17" s="1"/>
  <c r="H20" i="1"/>
  <c r="G50" i="17" s="1"/>
  <c r="H19" i="1"/>
  <c r="G49" i="17" s="1"/>
  <c r="H18" i="1"/>
  <c r="G44" i="17" s="1"/>
  <c r="H17" i="1"/>
  <c r="G43" i="17" s="1"/>
  <c r="H14" i="1"/>
  <c r="G38" i="17" s="1"/>
  <c r="H13" i="1"/>
  <c r="G37" i="17" s="1"/>
  <c r="H12" i="1"/>
  <c r="G32" i="17" s="1"/>
  <c r="H11" i="1"/>
  <c r="G31" i="17" s="1"/>
  <c r="H10" i="1"/>
  <c r="G26" i="17" s="1"/>
  <c r="H9" i="1"/>
  <c r="G25" i="17" s="1"/>
  <c r="H8" i="1"/>
  <c r="G20" i="17" s="1"/>
  <c r="H7" i="1"/>
  <c r="G19" i="17" s="1"/>
  <c r="H6" i="1"/>
  <c r="G14" i="17" s="1"/>
  <c r="H5" i="1"/>
  <c r="G13" i="17" s="1"/>
  <c r="D24" i="1"/>
  <c r="D23" i="1"/>
  <c r="D22" i="1"/>
  <c r="C56" i="17" s="1"/>
  <c r="D21" i="1"/>
  <c r="C55" i="17" s="1"/>
  <c r="D20" i="1"/>
  <c r="C50" i="17" s="1"/>
  <c r="D19" i="1"/>
  <c r="C49" i="17" s="1"/>
  <c r="D18" i="1"/>
  <c r="C44" i="17" s="1"/>
  <c r="D17" i="1"/>
  <c r="C43" i="17" s="1"/>
  <c r="D14" i="1"/>
  <c r="C38" i="17" s="1"/>
  <c r="D13" i="1"/>
  <c r="C37" i="17" s="1"/>
  <c r="D12" i="1"/>
  <c r="C32" i="17" s="1"/>
  <c r="D11" i="1"/>
  <c r="C31" i="17" s="1"/>
  <c r="D10" i="1"/>
  <c r="C26" i="17" s="1"/>
  <c r="D9" i="1"/>
  <c r="C25" i="17" s="1"/>
  <c r="D8" i="1"/>
  <c r="C20" i="17" s="1"/>
  <c r="D7" i="1"/>
  <c r="C19" i="17" s="1"/>
  <c r="D6" i="1"/>
  <c r="C14" i="17" s="1"/>
  <c r="D5" i="1"/>
  <c r="C13" i="17" s="1"/>
  <c r="C117" i="17" l="1"/>
  <c r="C87" i="17"/>
  <c r="D125" i="17"/>
  <c r="E125" i="17"/>
  <c r="F125" i="17"/>
  <c r="D97" i="17"/>
  <c r="E97" i="17"/>
  <c r="F97" i="17"/>
  <c r="D121" i="17"/>
  <c r="E121" i="17"/>
  <c r="F121" i="17"/>
  <c r="D122" i="17"/>
  <c r="E122" i="17"/>
  <c r="F122" i="17"/>
  <c r="D93" i="17"/>
  <c r="E93" i="17"/>
  <c r="F93" i="17"/>
  <c r="D94" i="17"/>
  <c r="E94" i="17"/>
  <c r="F94" i="17"/>
  <c r="D115" i="17"/>
  <c r="E115" i="17"/>
  <c r="F115" i="17"/>
  <c r="D116" i="17"/>
  <c r="E116" i="17"/>
  <c r="F116" i="17"/>
  <c r="D117" i="17"/>
  <c r="E117" i="17"/>
  <c r="F117" i="17"/>
  <c r="D118" i="17"/>
  <c r="E118" i="17"/>
  <c r="F118" i="17"/>
  <c r="D87" i="17"/>
  <c r="E87" i="17"/>
  <c r="F87" i="17"/>
  <c r="D88" i="17"/>
  <c r="E88" i="17"/>
  <c r="F88" i="17"/>
  <c r="D89" i="17"/>
  <c r="E89" i="17"/>
  <c r="F89" i="17"/>
  <c r="D90" i="17"/>
  <c r="E90" i="17"/>
  <c r="F90" i="17"/>
  <c r="G125" i="17"/>
  <c r="C125" i="17"/>
  <c r="G97" i="17"/>
  <c r="C97" i="17"/>
  <c r="C93" i="17"/>
  <c r="C122" i="17"/>
  <c r="C121" i="17"/>
  <c r="G116" i="17"/>
  <c r="T66" i="17"/>
  <c r="T65" i="17"/>
  <c r="T64" i="17"/>
  <c r="T63" i="17"/>
  <c r="T60" i="17"/>
  <c r="T59" i="17"/>
  <c r="T58" i="17"/>
  <c r="T57" i="17"/>
  <c r="T54" i="17"/>
  <c r="T53" i="17"/>
  <c r="T52" i="17"/>
  <c r="T51" i="17"/>
  <c r="T48" i="17" l="1"/>
  <c r="T47" i="17"/>
  <c r="T46" i="17"/>
  <c r="T45" i="17"/>
  <c r="T42" i="17"/>
  <c r="T41" i="17"/>
  <c r="T40" i="17"/>
  <c r="T39" i="17"/>
  <c r="T36" i="17"/>
  <c r="T35" i="17"/>
  <c r="T34" i="17"/>
  <c r="T33" i="17"/>
  <c r="T30" i="17"/>
  <c r="T29" i="17"/>
  <c r="T28" i="17"/>
  <c r="T27" i="17"/>
  <c r="T24" i="17"/>
  <c r="T23" i="17"/>
  <c r="T22" i="17"/>
  <c r="T21" i="17"/>
  <c r="T18" i="17"/>
  <c r="T17" i="17"/>
  <c r="T16" i="17"/>
  <c r="T15" i="17"/>
  <c r="T12" i="17"/>
  <c r="T11" i="17"/>
  <c r="T10" i="17"/>
  <c r="T7" i="17"/>
  <c r="T6" i="17"/>
  <c r="T5" i="17"/>
  <c r="W5" i="17" s="1" a="1"/>
  <c r="W5" i="17" s="1"/>
  <c r="AA52" i="17" l="1"/>
  <c r="W63" i="17" a="1"/>
  <c r="W63" i="17" s="1"/>
  <c r="W64" i="17" a="1"/>
  <c r="W64" i="17" s="1"/>
  <c r="X65" i="17" a="1"/>
  <c r="X65" i="17" s="1"/>
  <c r="X59" i="17" a="1"/>
  <c r="X59" i="17" s="1"/>
  <c r="AA57" i="17"/>
  <c r="Z52" i="17"/>
  <c r="Z66" i="17"/>
  <c r="W66" i="17" a="1"/>
  <c r="W66" i="17" s="1"/>
  <c r="X52" i="17" a="1"/>
  <c r="X52" i="17" s="1"/>
  <c r="X64" i="17" a="1"/>
  <c r="X64" i="17" s="1"/>
  <c r="Z59" i="17"/>
  <c r="Z63" i="17"/>
  <c r="AA63" i="17"/>
  <c r="X66" i="17" a="1"/>
  <c r="X66" i="17" s="1"/>
  <c r="AA54" i="17"/>
  <c r="W58" i="17" a="1"/>
  <c r="W58" i="17" s="1"/>
  <c r="Y53" i="17" a="1"/>
  <c r="Y53" i="17" s="1"/>
  <c r="Y63" i="17" a="1"/>
  <c r="Y63" i="17" s="1"/>
  <c r="Y59" i="17" a="1"/>
  <c r="Y59" i="17" s="1"/>
  <c r="Y64" i="17" a="1"/>
  <c r="Y64" i="17" s="1"/>
  <c r="AA66" i="17"/>
  <c r="Y65" i="17" a="1"/>
  <c r="Y65" i="17" s="1"/>
  <c r="W51" i="17" a="1"/>
  <c r="W51" i="17" s="1"/>
  <c r="Z57" i="17"/>
  <c r="W57" i="17" a="1"/>
  <c r="W57" i="17" s="1"/>
  <c r="Z53" i="17"/>
  <c r="W52" i="17" a="1"/>
  <c r="W52" i="17" s="1"/>
  <c r="Z51" i="17"/>
  <c r="Y51" i="17" a="1"/>
  <c r="Y51" i="17" s="1"/>
  <c r="X53" i="17" a="1"/>
  <c r="X53" i="17" s="1"/>
  <c r="W60" i="17" a="1"/>
  <c r="W60" i="17" s="1"/>
  <c r="AA59" i="17"/>
  <c r="Y54" i="17" a="1"/>
  <c r="Y54" i="17" s="1"/>
  <c r="AA53" i="17"/>
  <c r="Z58" i="17"/>
  <c r="Y52" i="17" a="1"/>
  <c r="Y52" i="17" s="1"/>
  <c r="Y60" i="17" a="1"/>
  <c r="Y60" i="17" s="1"/>
  <c r="Y57" i="17" a="1"/>
  <c r="Y57" i="17" s="1"/>
  <c r="X60" i="17" a="1"/>
  <c r="X60" i="17" s="1"/>
  <c r="AA64" i="17"/>
  <c r="X58" i="17" a="1"/>
  <c r="X58" i="17" s="1"/>
  <c r="AA65" i="17"/>
  <c r="Z54" i="17"/>
  <c r="AA58" i="17"/>
  <c r="W54" i="17" a="1"/>
  <c r="W54" i="17" s="1"/>
  <c r="AA51" i="17"/>
  <c r="W59" i="17" a="1"/>
  <c r="W59" i="17" s="1"/>
  <c r="X57" i="17" a="1"/>
  <c r="X57" i="17" s="1"/>
  <c r="W65" i="17" a="1"/>
  <c r="W65" i="17" s="1"/>
  <c r="X54" i="17" a="1"/>
  <c r="X54" i="17" s="1"/>
  <c r="Z65" i="17"/>
  <c r="Y58" i="17" a="1"/>
  <c r="Y58" i="17" s="1"/>
  <c r="X51" i="17" a="1"/>
  <c r="X51" i="17" s="1"/>
  <c r="W53" i="17" a="1"/>
  <c r="W53" i="17" s="1"/>
  <c r="Z60" i="17"/>
  <c r="AA60" i="17"/>
  <c r="Z64" i="17"/>
  <c r="Y66" i="17" a="1"/>
  <c r="Y66" i="17" s="1"/>
  <c r="X63" i="17" a="1"/>
  <c r="X63" i="17" s="1"/>
  <c r="X45" i="17" a="1"/>
  <c r="X45" i="17" s="1"/>
  <c r="Z18" i="17"/>
  <c r="W23" i="17" a="1"/>
  <c r="W23" i="17" s="1"/>
  <c r="W11" i="17" a="1"/>
  <c r="W11" i="17" s="1"/>
  <c r="W15" i="17" a="1"/>
  <c r="W15" i="17" s="1"/>
  <c r="X40" i="17" a="1"/>
  <c r="X40" i="17" s="1"/>
  <c r="Y23" i="17" a="1"/>
  <c r="Y23" i="17" s="1"/>
  <c r="AA27" i="17"/>
  <c r="AA11" i="17"/>
  <c r="X15" i="17" a="1"/>
  <c r="X15" i="17" s="1"/>
  <c r="Y12" i="17" a="1"/>
  <c r="Y12" i="17" s="1"/>
  <c r="AA24" i="17"/>
  <c r="Y28" i="17" a="1"/>
  <c r="Y28" i="17" s="1"/>
  <c r="W22" i="17" a="1"/>
  <c r="W22" i="17" s="1"/>
  <c r="Z17" i="17"/>
  <c r="Z42" i="17"/>
  <c r="AA30" i="17"/>
  <c r="Z27" i="17"/>
  <c r="AA16" i="17"/>
  <c r="W47" i="17" a="1"/>
  <c r="W47" i="17" s="1"/>
  <c r="Z33" i="17"/>
  <c r="Y17" i="17" a="1"/>
  <c r="Y17" i="17" s="1"/>
  <c r="X6" i="17" a="1"/>
  <c r="X6" i="17" s="1"/>
  <c r="Y34" i="17" a="1"/>
  <c r="Y34" i="17" s="1"/>
  <c r="Z34" i="17"/>
  <c r="X21" i="17" a="1"/>
  <c r="X21" i="17" s="1"/>
  <c r="Y21" i="17" a="1"/>
  <c r="Y21" i="17" s="1"/>
  <c r="AA7" i="17"/>
  <c r="Z39" i="17"/>
  <c r="X24" i="17" a="1"/>
  <c r="X24" i="17" s="1"/>
  <c r="AA28" i="17"/>
  <c r="W36" i="17" a="1"/>
  <c r="W36" i="17" s="1"/>
  <c r="Z22" i="17"/>
  <c r="Z12" i="17"/>
  <c r="X11" i="17" a="1"/>
  <c r="X11" i="17" s="1"/>
  <c r="X29" i="17" a="1"/>
  <c r="X29" i="17" s="1"/>
  <c r="AA15" i="17"/>
  <c r="X35" i="17" a="1"/>
  <c r="X35" i="17" s="1"/>
  <c r="X18" i="17" a="1"/>
  <c r="X18" i="17" s="1"/>
  <c r="AA29" i="17"/>
  <c r="X34" i="17" a="1"/>
  <c r="X34" i="17" s="1"/>
  <c r="AA36" i="17"/>
  <c r="W39" i="17" a="1"/>
  <c r="W39" i="17" s="1"/>
  <c r="Z23" i="17"/>
  <c r="AA23" i="17"/>
  <c r="W17" i="17" a="1"/>
  <c r="W17" i="17" s="1"/>
  <c r="W42" i="17" a="1"/>
  <c r="W42" i="17" s="1"/>
  <c r="Z28" i="17"/>
  <c r="X33" i="17" a="1"/>
  <c r="X33" i="17" s="1"/>
  <c r="W12" i="17" a="1"/>
  <c r="W12" i="17" s="1"/>
  <c r="Y40" i="17" a="1"/>
  <c r="Y40" i="17" s="1"/>
  <c r="W27" i="17" a="1"/>
  <c r="W27" i="17" s="1"/>
  <c r="W16" i="17" a="1"/>
  <c r="W16" i="17" s="1"/>
  <c r="AA18" i="17"/>
  <c r="Z47" i="17"/>
  <c r="X30" i="17" a="1"/>
  <c r="X30" i="17" s="1"/>
  <c r="Y5" i="17" a="1"/>
  <c r="Y5" i="17" s="1"/>
  <c r="AA21" i="17"/>
  <c r="Y24" i="17" a="1"/>
  <c r="Y24" i="17" s="1"/>
  <c r="Z36" i="17"/>
  <c r="Z45" i="17"/>
  <c r="Y41" i="17" a="1"/>
  <c r="Y41" i="17" s="1"/>
  <c r="W28" i="17" a="1"/>
  <c r="W28" i="17" s="1"/>
  <c r="X28" i="17" a="1"/>
  <c r="X28" i="17" s="1"/>
  <c r="Z5" i="17"/>
  <c r="Y46" i="17" a="1"/>
  <c r="Y46" i="17" s="1"/>
  <c r="W33" i="17" a="1"/>
  <c r="W33" i="17" s="1"/>
  <c r="Z35" i="17"/>
  <c r="Y15" i="17" a="1"/>
  <c r="Y15" i="17" s="1"/>
  <c r="W6" i="17" a="1"/>
  <c r="W6" i="17" s="1"/>
  <c r="AA42" i="17"/>
  <c r="Y29" i="17" a="1"/>
  <c r="Y29" i="17" s="1"/>
  <c r="Y18" i="17" a="1"/>
  <c r="Y18" i="17" s="1"/>
  <c r="Y27" i="17" a="1"/>
  <c r="Y27" i="17" s="1"/>
  <c r="X10" i="17" a="1"/>
  <c r="X10" i="17" s="1"/>
  <c r="Y16" i="17" a="1"/>
  <c r="Y16" i="17" s="1"/>
  <c r="W41" i="17" a="1"/>
  <c r="W41" i="17" s="1"/>
  <c r="AA45" i="17"/>
  <c r="Y30" i="17" a="1"/>
  <c r="Y30" i="17" s="1"/>
  <c r="Z30" i="17"/>
  <c r="Z48" i="17"/>
  <c r="Y35" i="17" a="1"/>
  <c r="Y35" i="17" s="1"/>
  <c r="W40" i="17" a="1"/>
  <c r="W40" i="17" s="1"/>
  <c r="AA17" i="17"/>
  <c r="Y6" i="17" a="1"/>
  <c r="Y6" i="17" s="1"/>
  <c r="X47" i="17" a="1"/>
  <c r="X47" i="17" s="1"/>
  <c r="AA33" i="17"/>
  <c r="AA22" i="17"/>
  <c r="AA39" i="17"/>
  <c r="X22" i="17" a="1"/>
  <c r="X22" i="17" s="1"/>
  <c r="X36" i="17" a="1"/>
  <c r="X36" i="17" s="1"/>
  <c r="X27" i="17" a="1"/>
  <c r="X27" i="17" s="1"/>
  <c r="W7" i="17" a="1"/>
  <c r="W7" i="17" s="1"/>
  <c r="AA47" i="17"/>
  <c r="AA10" i="17"/>
  <c r="W30" i="17" a="1"/>
  <c r="W30" i="17" s="1"/>
  <c r="X39" i="17" a="1"/>
  <c r="X39" i="17" s="1"/>
  <c r="Y39" i="17" a="1"/>
  <c r="Y39" i="17" s="1"/>
  <c r="X42" i="17" a="1"/>
  <c r="X42" i="17" s="1"/>
  <c r="AA46" i="17"/>
  <c r="Z24" i="17"/>
  <c r="X12" i="17" a="1"/>
  <c r="X12" i="17" s="1"/>
  <c r="Z40" i="17"/>
  <c r="Z29" i="17"/>
  <c r="AA6" i="17"/>
  <c r="Y7" i="17" a="1"/>
  <c r="Y7" i="17" s="1"/>
  <c r="W35" i="17" a="1"/>
  <c r="W35" i="17" s="1"/>
  <c r="Y42" i="17" a="1"/>
  <c r="Y42" i="17" s="1"/>
  <c r="W48" i="17" a="1"/>
  <c r="W48" i="17" s="1"/>
  <c r="Z41" i="17"/>
  <c r="AA41" i="17"/>
  <c r="X17" i="17" a="1"/>
  <c r="X17" i="17" s="1"/>
  <c r="AA5" i="17"/>
  <c r="Z46" i="17"/>
  <c r="W29" i="17" a="1"/>
  <c r="W29" i="17" s="1"/>
  <c r="Z15" i="17"/>
  <c r="X23" i="17" a="1"/>
  <c r="X23" i="17" s="1"/>
  <c r="W45" i="17" a="1"/>
  <c r="W45" i="17" s="1"/>
  <c r="W34" i="17" a="1"/>
  <c r="W34" i="17" s="1"/>
  <c r="AA34" i="17"/>
  <c r="Y11" i="17" a="1"/>
  <c r="Y11" i="17" s="1"/>
  <c r="X5" i="17" a="1"/>
  <c r="X5" i="17" s="1"/>
  <c r="U5" i="17" s="1"/>
  <c r="W46" i="17" a="1"/>
  <c r="W46" i="17" s="1"/>
  <c r="Y33" i="17" a="1"/>
  <c r="Y33" i="17" s="1"/>
  <c r="W18" i="17" a="1"/>
  <c r="W18" i="17" s="1"/>
  <c r="Z6" i="17"/>
  <c r="Y47" i="17" a="1"/>
  <c r="Y47" i="17" s="1"/>
  <c r="Y36" i="17" a="1"/>
  <c r="Y36" i="17" s="1"/>
  <c r="Y45" i="17" a="1"/>
  <c r="Y45" i="17" s="1"/>
  <c r="Y10" i="17" a="1"/>
  <c r="Y10" i="17" s="1"/>
  <c r="AA12" i="17"/>
  <c r="X7" i="17" a="1"/>
  <c r="X7" i="17" s="1"/>
  <c r="Z16" i="17"/>
  <c r="X46" i="17" a="1"/>
  <c r="X46" i="17" s="1"/>
  <c r="Z21" i="17"/>
  <c r="AA48" i="17"/>
  <c r="X16" i="17" a="1"/>
  <c r="X16" i="17" s="1"/>
  <c r="X41" i="17" a="1"/>
  <c r="X41" i="17" s="1"/>
  <c r="W21" i="17" a="1"/>
  <c r="W21" i="17" s="1"/>
  <c r="Z7" i="17"/>
  <c r="X48" i="17" a="1"/>
  <c r="X48" i="17" s="1"/>
  <c r="Y48" i="17" a="1"/>
  <c r="Y48" i="17" s="1"/>
  <c r="W24" i="17" a="1"/>
  <c r="W24" i="17" s="1"/>
  <c r="Z11" i="17"/>
  <c r="Z10" i="17"/>
  <c r="AA35" i="17"/>
  <c r="Y22" i="17" a="1"/>
  <c r="Y22" i="17" s="1"/>
  <c r="W10" i="17" a="1"/>
  <c r="W10" i="17" s="1"/>
  <c r="AA40" i="17"/>
  <c r="V48" i="17" l="1"/>
  <c r="U59" i="17"/>
  <c r="U65" i="17"/>
  <c r="U53" i="17"/>
  <c r="U52" i="17"/>
  <c r="U66" i="17"/>
  <c r="U54" i="17"/>
  <c r="U64" i="17"/>
  <c r="U57" i="17"/>
  <c r="U23" i="17"/>
  <c r="U60" i="17"/>
  <c r="V59" i="17"/>
  <c r="V65" i="17"/>
  <c r="U51" i="17"/>
  <c r="V66" i="17"/>
  <c r="V51" i="17"/>
  <c r="U58" i="17"/>
  <c r="V52" i="17"/>
  <c r="V64" i="17"/>
  <c r="V58" i="17"/>
  <c r="V53" i="17"/>
  <c r="V63" i="17"/>
  <c r="V60" i="17"/>
  <c r="U63" i="17"/>
  <c r="V54" i="17"/>
  <c r="V57" i="17"/>
  <c r="V34" i="17"/>
  <c r="U21" i="17"/>
  <c r="V33" i="17"/>
  <c r="V18" i="17"/>
  <c r="V10" i="17"/>
  <c r="V11" i="17"/>
  <c r="U45" i="17"/>
  <c r="U35" i="17"/>
  <c r="U30" i="17"/>
  <c r="U29" i="17"/>
  <c r="V27" i="17"/>
  <c r="U42" i="17"/>
  <c r="V29" i="17"/>
  <c r="U36" i="17"/>
  <c r="V15" i="17"/>
  <c r="V21" i="17"/>
  <c r="V23" i="17"/>
  <c r="U28" i="17"/>
  <c r="V24" i="17"/>
  <c r="U10" i="17"/>
  <c r="U11" i="17"/>
  <c r="U16" i="17"/>
  <c r="V16" i="17"/>
  <c r="U6" i="17"/>
  <c r="V46" i="17"/>
  <c r="V35" i="17"/>
  <c r="U15" i="17"/>
  <c r="V39" i="17"/>
  <c r="U33" i="17"/>
  <c r="U40" i="17"/>
  <c r="V6" i="17"/>
  <c r="U22" i="17"/>
  <c r="V47" i="17"/>
  <c r="U12" i="17"/>
  <c r="V12" i="17"/>
  <c r="U7" i="17"/>
  <c r="V41" i="17"/>
  <c r="V45" i="17"/>
  <c r="V36" i="17"/>
  <c r="V42" i="17"/>
  <c r="U46" i="17"/>
  <c r="U47" i="17"/>
  <c r="U48" i="17"/>
  <c r="V40" i="17"/>
  <c r="V17" i="17"/>
  <c r="V28" i="17"/>
  <c r="V22" i="17"/>
  <c r="V7" i="17"/>
  <c r="V5" i="17"/>
  <c r="U17" i="17"/>
  <c r="U24" i="17"/>
  <c r="U41" i="17"/>
  <c r="U18" i="17"/>
  <c r="U27" i="17"/>
  <c r="U34" i="17"/>
  <c r="V30" i="17"/>
  <c r="U39" i="17"/>
  <c r="AB52" i="17" l="1"/>
  <c r="AB59" i="17"/>
  <c r="AB48" i="17"/>
  <c r="AB64" i="17"/>
  <c r="AB51" i="17"/>
  <c r="AB53" i="17"/>
  <c r="AB65" i="17"/>
  <c r="AB54" i="17"/>
  <c r="AB57" i="17"/>
  <c r="AB58" i="17"/>
  <c r="AB23" i="17"/>
  <c r="AB63" i="17"/>
  <c r="AB66" i="17"/>
  <c r="AB34" i="17"/>
  <c r="AB18" i="17"/>
  <c r="AB33" i="17"/>
  <c r="AB21" i="17"/>
  <c r="AB60" i="17"/>
  <c r="AB11" i="17"/>
  <c r="AB29" i="17"/>
  <c r="AB30" i="17"/>
  <c r="AB10" i="17"/>
  <c r="AB15" i="17"/>
  <c r="AB45" i="17"/>
  <c r="AB27" i="17"/>
  <c r="AB5" i="17"/>
  <c r="AB7" i="17"/>
  <c r="AB42" i="17"/>
  <c r="AB36" i="17"/>
  <c r="AB35" i="17"/>
  <c r="AB28" i="17"/>
  <c r="AB24" i="17"/>
  <c r="AB16" i="17"/>
  <c r="AB46" i="17"/>
  <c r="AB6" i="17"/>
  <c r="AB40" i="17"/>
  <c r="AB12" i="17"/>
  <c r="AB39" i="17"/>
  <c r="AB22" i="17"/>
  <c r="AB47" i="17"/>
  <c r="AB41" i="17"/>
  <c r="AB17" i="17"/>
  <c r="J5" i="17" l="1" a="1"/>
  <c r="J5" i="17" s="1"/>
  <c r="C3" i="18" s="1"/>
  <c r="J65" i="17" a="1"/>
  <c r="J65" i="17" s="1"/>
  <c r="J64" i="17" a="1"/>
  <c r="J64" i="17" s="1"/>
  <c r="J63" i="17" a="1"/>
  <c r="J63" i="17" s="1"/>
  <c r="J66" i="17" a="1"/>
  <c r="J66" i="17" s="1"/>
  <c r="J58" i="17" a="1"/>
  <c r="J58" i="17" s="1"/>
  <c r="J60" i="17" a="1"/>
  <c r="J60" i="17" s="1"/>
  <c r="J57" i="17" a="1"/>
  <c r="J57" i="17" s="1"/>
  <c r="J59" i="17" a="1"/>
  <c r="J59" i="17" s="1"/>
  <c r="J40" i="17" a="1"/>
  <c r="J40" i="17" s="1"/>
  <c r="J46" i="17" a="1"/>
  <c r="J46" i="17" s="1"/>
  <c r="J54" i="17" a="1"/>
  <c r="J54" i="17" s="1"/>
  <c r="J53" i="17" a="1"/>
  <c r="J53" i="17" s="1"/>
  <c r="J51" i="17" a="1"/>
  <c r="J51" i="17" s="1"/>
  <c r="J52" i="17" a="1"/>
  <c r="J52" i="17" s="1"/>
  <c r="J28" i="17" a="1"/>
  <c r="J28" i="17" s="1"/>
  <c r="D7" i="18" s="1"/>
  <c r="J36" i="17" a="1"/>
  <c r="J36" i="17" s="1"/>
  <c r="H90" i="1" s="1"/>
  <c r="J6" i="17" a="1"/>
  <c r="J6" i="17" s="1"/>
  <c r="J30" i="17" a="1"/>
  <c r="J30" i="17" s="1"/>
  <c r="J29" i="17" a="1"/>
  <c r="J29" i="17" s="1"/>
  <c r="J27" i="17" a="1"/>
  <c r="J27" i="17" s="1"/>
  <c r="C7" i="18" s="1"/>
  <c r="J33" i="17" a="1"/>
  <c r="J33" i="17" s="1"/>
  <c r="C8" i="18" s="1"/>
  <c r="J34" i="17" a="1"/>
  <c r="J34" i="17" s="1"/>
  <c r="J35" i="17" a="1"/>
  <c r="J35" i="17" s="1"/>
  <c r="D100" i="1" s="1"/>
  <c r="D111" i="1" s="1"/>
  <c r="J23" i="17" a="1"/>
  <c r="J23" i="17" s="1"/>
  <c r="J15" i="17" a="1"/>
  <c r="J15" i="17" s="1"/>
  <c r="C5" i="18" s="1"/>
  <c r="J7" i="17" a="1"/>
  <c r="J7" i="17" s="1"/>
  <c r="J41" i="17" a="1"/>
  <c r="J41" i="17" s="1"/>
  <c r="D101" i="1" s="1"/>
  <c r="H111" i="1" s="1"/>
  <c r="G118" i="17" s="1"/>
  <c r="J22" i="17" a="1"/>
  <c r="J22" i="17" s="1"/>
  <c r="J21" i="17" a="1"/>
  <c r="J21" i="17" s="1"/>
  <c r="C6" i="18" s="1"/>
  <c r="J24" i="17" a="1"/>
  <c r="J24" i="17" s="1"/>
  <c r="J47" i="17" a="1"/>
  <c r="J47" i="17" s="1"/>
  <c r="J48" i="17" a="1"/>
  <c r="J48" i="17" s="1"/>
  <c r="J45" i="17" a="1"/>
  <c r="J45" i="17" s="1"/>
  <c r="C10" i="18" s="1"/>
  <c r="J12" i="17" a="1"/>
  <c r="J12" i="17" s="1"/>
  <c r="D80" i="1" s="1"/>
  <c r="H100" i="1" s="1"/>
  <c r="J39" i="17" a="1"/>
  <c r="J39" i="17" s="1"/>
  <c r="C9" i="18" s="1"/>
  <c r="J42" i="17" a="1"/>
  <c r="J42" i="17" s="1"/>
  <c r="H91" i="1" s="1"/>
  <c r="G108" i="17" s="1"/>
  <c r="J10" i="17" a="1"/>
  <c r="J10" i="17" s="1"/>
  <c r="C4" i="18" s="1"/>
  <c r="J11" i="17" a="1"/>
  <c r="J11" i="17" s="1"/>
  <c r="J16" i="17" a="1"/>
  <c r="J16" i="17" s="1"/>
  <c r="J17" i="17" a="1"/>
  <c r="J17" i="17" s="1"/>
  <c r="D81" i="1" s="1"/>
  <c r="H101" i="1" s="1"/>
  <c r="G112" i="17" s="1"/>
  <c r="J18" i="17" a="1"/>
  <c r="J18" i="17" s="1"/>
  <c r="H117" i="1" l="1"/>
  <c r="G122" i="17" s="1"/>
  <c r="C118" i="17"/>
  <c r="D96" i="1"/>
  <c r="L5" i="17"/>
  <c r="C102" i="17"/>
  <c r="H98" i="1"/>
  <c r="G109" i="17" s="1"/>
  <c r="I79" i="1"/>
  <c r="D88" i="1"/>
  <c r="D99" i="1"/>
  <c r="G111" i="17"/>
  <c r="I81" i="1"/>
  <c r="D90" i="1"/>
  <c r="H88" i="1"/>
  <c r="G105" i="17" s="1"/>
  <c r="H89" i="1"/>
  <c r="G106" i="17" s="1"/>
  <c r="D91" i="1"/>
  <c r="C108" i="17" s="1"/>
  <c r="D98" i="1"/>
  <c r="C109" i="17" s="1"/>
  <c r="G107" i="17"/>
  <c r="D89" i="1"/>
  <c r="I80" i="1"/>
  <c r="H80" i="1"/>
  <c r="C101" i="17"/>
  <c r="H81" i="1"/>
  <c r="D79" i="1"/>
  <c r="H79" i="1"/>
  <c r="C112" i="17"/>
  <c r="C111" i="17"/>
  <c r="D85" i="1"/>
  <c r="H104" i="1" s="1"/>
  <c r="G87" i="17" s="1"/>
  <c r="H95" i="1"/>
  <c r="D86" i="1"/>
  <c r="H87" i="1"/>
  <c r="C83" i="17"/>
  <c r="K5" i="17"/>
  <c r="D5" i="18"/>
  <c r="D6" i="18"/>
  <c r="D3" i="18"/>
  <c r="D11" i="18"/>
  <c r="D4" i="18"/>
  <c r="C11" i="18"/>
  <c r="D94" i="1" s="1"/>
  <c r="C81" i="17" s="1"/>
  <c r="D12" i="18"/>
  <c r="C13" i="18"/>
  <c r="H85" i="1" s="1"/>
  <c r="G78" i="17" s="1"/>
  <c r="C12" i="18"/>
  <c r="D73" i="1" s="1"/>
  <c r="D8" i="18"/>
  <c r="D10" i="18"/>
  <c r="D13" i="18"/>
  <c r="D9" i="18"/>
  <c r="D77" i="1" s="1"/>
  <c r="C73" i="17" s="1"/>
  <c r="K36" i="17"/>
  <c r="M28" i="17"/>
  <c r="K48" i="17"/>
  <c r="M59" i="17"/>
  <c r="P59" i="17"/>
  <c r="L59" i="17"/>
  <c r="O59" i="17"/>
  <c r="K59" i="17"/>
  <c r="Q59" i="17"/>
  <c r="N59" i="17"/>
  <c r="Q57" i="17"/>
  <c r="P57" i="17"/>
  <c r="O57" i="17"/>
  <c r="N57" i="17"/>
  <c r="M57" i="17"/>
  <c r="L57" i="17"/>
  <c r="K57" i="17"/>
  <c r="L60" i="17"/>
  <c r="M60" i="17"/>
  <c r="K60" i="17"/>
  <c r="Q60" i="17"/>
  <c r="P60" i="17"/>
  <c r="O60" i="17"/>
  <c r="N60" i="17"/>
  <c r="M58" i="17"/>
  <c r="O58" i="17"/>
  <c r="P58" i="17"/>
  <c r="K58" i="17"/>
  <c r="N58" i="17"/>
  <c r="Q58" i="17"/>
  <c r="L58" i="17"/>
  <c r="O66" i="17"/>
  <c r="N66" i="17"/>
  <c r="P66" i="17"/>
  <c r="M66" i="17"/>
  <c r="L66" i="17"/>
  <c r="K66" i="17"/>
  <c r="Q66" i="17"/>
  <c r="Q63" i="17"/>
  <c r="P63" i="17"/>
  <c r="O63" i="17"/>
  <c r="N63" i="17"/>
  <c r="M63" i="17"/>
  <c r="L63" i="17"/>
  <c r="K63" i="17"/>
  <c r="K64" i="17"/>
  <c r="L64" i="17"/>
  <c r="O64" i="17"/>
  <c r="Q64" i="17"/>
  <c r="N64" i="17"/>
  <c r="M64" i="17"/>
  <c r="P64" i="17"/>
  <c r="L65" i="17"/>
  <c r="K65" i="17"/>
  <c r="O65" i="17"/>
  <c r="M65" i="17"/>
  <c r="P65" i="17"/>
  <c r="N65" i="17"/>
  <c r="Q65" i="17"/>
  <c r="P52" i="17"/>
  <c r="Q52" i="17"/>
  <c r="O52" i="17"/>
  <c r="N52" i="17"/>
  <c r="M52" i="17"/>
  <c r="L52" i="17"/>
  <c r="K52" i="17"/>
  <c r="Q51" i="17"/>
  <c r="P51" i="17"/>
  <c r="L51" i="17"/>
  <c r="O51" i="17"/>
  <c r="N51" i="17"/>
  <c r="M51" i="17"/>
  <c r="K51" i="17"/>
  <c r="O53" i="17"/>
  <c r="Q53" i="17"/>
  <c r="N53" i="17"/>
  <c r="L53" i="17"/>
  <c r="P53" i="17"/>
  <c r="M53" i="17"/>
  <c r="K53" i="17"/>
  <c r="N54" i="17"/>
  <c r="K54" i="17"/>
  <c r="P54" i="17"/>
  <c r="L54" i="17"/>
  <c r="O54" i="17"/>
  <c r="M54" i="17"/>
  <c r="Q54" i="17"/>
  <c r="N36" i="17"/>
  <c r="L28" i="17"/>
  <c r="P36" i="17"/>
  <c r="P28" i="17"/>
  <c r="K28" i="17"/>
  <c r="N28" i="17"/>
  <c r="Q28" i="17"/>
  <c r="M36" i="17"/>
  <c r="L36" i="17"/>
  <c r="O36" i="17"/>
  <c r="Q36" i="17"/>
  <c r="O28" i="17"/>
  <c r="K18" i="17"/>
  <c r="O24" i="17"/>
  <c r="P30" i="17"/>
  <c r="Q42" i="17"/>
  <c r="M48" i="17"/>
  <c r="N7" i="17"/>
  <c r="P12" i="17"/>
  <c r="L35" i="17"/>
  <c r="O34" i="17"/>
  <c r="O47" i="17"/>
  <c r="N17" i="17"/>
  <c r="K27" i="17"/>
  <c r="K29" i="17"/>
  <c r="K11" i="17"/>
  <c r="M23" i="17"/>
  <c r="Q41" i="17"/>
  <c r="O6" i="17"/>
  <c r="K10" i="17"/>
  <c r="P46" i="17"/>
  <c r="N29" i="17"/>
  <c r="L30" i="17"/>
  <c r="K30" i="17"/>
  <c r="O30" i="17"/>
  <c r="N27" i="17"/>
  <c r="Q27" i="17"/>
  <c r="M30" i="17"/>
  <c r="L27" i="17"/>
  <c r="O27" i="17"/>
  <c r="P27" i="17"/>
  <c r="M27" i="17"/>
  <c r="O46" i="17"/>
  <c r="N46" i="17"/>
  <c r="K46" i="17"/>
  <c r="Q46" i="17"/>
  <c r="M46" i="17"/>
  <c r="L46" i="17"/>
  <c r="N30" i="17"/>
  <c r="Q30" i="17"/>
  <c r="L29" i="17"/>
  <c r="P29" i="17"/>
  <c r="O29" i="17"/>
  <c r="Q29" i="17"/>
  <c r="P35" i="17"/>
  <c r="M29" i="17"/>
  <c r="N23" i="17"/>
  <c r="O23" i="17"/>
  <c r="K6" i="17"/>
  <c r="L23" i="17"/>
  <c r="M6" i="17"/>
  <c r="N6" i="17"/>
  <c r="L6" i="17"/>
  <c r="P6" i="17"/>
  <c r="Q6" i="17"/>
  <c r="K23" i="17"/>
  <c r="Q23" i="17"/>
  <c r="P23" i="17"/>
  <c r="N35" i="17"/>
  <c r="O35" i="17"/>
  <c r="K35" i="17"/>
  <c r="Q35" i="17"/>
  <c r="L34" i="17"/>
  <c r="N33" i="17"/>
  <c r="K34" i="17"/>
  <c r="M34" i="17"/>
  <c r="K33" i="17"/>
  <c r="M33" i="17"/>
  <c r="Q34" i="17"/>
  <c r="L33" i="17"/>
  <c r="P33" i="17"/>
  <c r="M35" i="17"/>
  <c r="N34" i="17"/>
  <c r="P34" i="17"/>
  <c r="Q33" i="17"/>
  <c r="O33" i="17"/>
  <c r="O15" i="17"/>
  <c r="L15" i="17"/>
  <c r="N15" i="17"/>
  <c r="P15" i="17"/>
  <c r="Q15" i="17"/>
  <c r="M15" i="17"/>
  <c r="K15" i="17"/>
  <c r="M17" i="17"/>
  <c r="L17" i="17"/>
  <c r="M7" i="17"/>
  <c r="L7" i="17"/>
  <c r="K22" i="17"/>
  <c r="P10" i="17"/>
  <c r="L10" i="17"/>
  <c r="O10" i="17"/>
  <c r="M10" i="17"/>
  <c r="N5" i="17"/>
  <c r="P16" i="17"/>
  <c r="N16" i="17"/>
  <c r="K41" i="17"/>
  <c r="O41" i="17"/>
  <c r="Q16" i="17"/>
  <c r="K16" i="17"/>
  <c r="K7" i="17"/>
  <c r="P7" i="17"/>
  <c r="N41" i="17"/>
  <c r="Q7" i="17"/>
  <c r="M41" i="17"/>
  <c r="L41" i="17"/>
  <c r="P41" i="17"/>
  <c r="Q10" i="17"/>
  <c r="N10" i="17"/>
  <c r="O7" i="17"/>
  <c r="M40" i="17"/>
  <c r="Q40" i="17"/>
  <c r="N40" i="17"/>
  <c r="K40" i="17"/>
  <c r="L40" i="17"/>
  <c r="O40" i="17"/>
  <c r="P40" i="17"/>
  <c r="Q5" i="17"/>
  <c r="M5" i="17"/>
  <c r="O5" i="17"/>
  <c r="P5" i="17"/>
  <c r="O21" i="17"/>
  <c r="M21" i="17"/>
  <c r="M16" i="17"/>
  <c r="L16" i="17"/>
  <c r="L48" i="17"/>
  <c r="L18" i="17"/>
  <c r="L21" i="17"/>
  <c r="O18" i="17"/>
  <c r="Q21" i="17"/>
  <c r="P21" i="17"/>
  <c r="N21" i="17"/>
  <c r="K21" i="17"/>
  <c r="Q48" i="17"/>
  <c r="P48" i="17"/>
  <c r="N48" i="17"/>
  <c r="N47" i="17"/>
  <c r="P17" i="17"/>
  <c r="O17" i="17"/>
  <c r="P22" i="17"/>
  <c r="O22" i="17"/>
  <c r="K17" i="17"/>
  <c r="M22" i="17"/>
  <c r="L22" i="17"/>
  <c r="N22" i="17"/>
  <c r="Q22" i="17"/>
  <c r="Q12" i="17"/>
  <c r="L12" i="17"/>
  <c r="Q45" i="17"/>
  <c r="N45" i="17"/>
  <c r="P11" i="17"/>
  <c r="O11" i="17"/>
  <c r="O48" i="17"/>
  <c r="Q24" i="17"/>
  <c r="P18" i="17"/>
  <c r="N12" i="17"/>
  <c r="L45" i="17"/>
  <c r="O45" i="17"/>
  <c r="N24" i="17"/>
  <c r="O12" i="17"/>
  <c r="K47" i="17"/>
  <c r="K24" i="17"/>
  <c r="M11" i="17"/>
  <c r="L47" i="17"/>
  <c r="L24" i="17"/>
  <c r="M47" i="17"/>
  <c r="M24" i="17"/>
  <c r="L11" i="17"/>
  <c r="M45" i="17"/>
  <c r="Q47" i="17"/>
  <c r="P24" i="17"/>
  <c r="Q11" i="17"/>
  <c r="P45" i="17"/>
  <c r="K45" i="17"/>
  <c r="P47" i="17"/>
  <c r="P39" i="17"/>
  <c r="L42" i="17"/>
  <c r="O39" i="17"/>
  <c r="N42" i="17"/>
  <c r="M42" i="17"/>
  <c r="O42" i="17"/>
  <c r="K42" i="17"/>
  <c r="Q39" i="17"/>
  <c r="M39" i="17"/>
  <c r="K39" i="17"/>
  <c r="L39" i="17"/>
  <c r="M12" i="17"/>
  <c r="P42" i="17"/>
  <c r="N39" i="17"/>
  <c r="K12" i="17"/>
  <c r="Q17" i="17"/>
  <c r="N11" i="17"/>
  <c r="Q18" i="17"/>
  <c r="N18" i="17"/>
  <c r="M18" i="17"/>
  <c r="O16" i="17"/>
  <c r="G102" i="17" l="1"/>
  <c r="I91" i="1"/>
  <c r="G101" i="17"/>
  <c r="I90" i="1"/>
  <c r="C110" i="17"/>
  <c r="H110" i="1"/>
  <c r="G117" i="17" s="1"/>
  <c r="C105" i="17"/>
  <c r="D108" i="1"/>
  <c r="C115" i="17" s="1"/>
  <c r="H74" i="1"/>
  <c r="G80" i="17"/>
  <c r="I94" i="1"/>
  <c r="C106" i="17"/>
  <c r="H108" i="1"/>
  <c r="G115" i="17" s="1"/>
  <c r="C69" i="17"/>
  <c r="D95" i="1"/>
  <c r="C79" i="17"/>
  <c r="D105" i="1"/>
  <c r="G82" i="17"/>
  <c r="H106" i="1"/>
  <c r="G89" i="17" s="1"/>
  <c r="G100" i="17"/>
  <c r="H99" i="1"/>
  <c r="G110" i="17" s="1"/>
  <c r="C100" i="17"/>
  <c r="I89" i="1"/>
  <c r="C107" i="17"/>
  <c r="D109" i="1"/>
  <c r="D75" i="1"/>
  <c r="H76" i="1"/>
  <c r="G72" i="17" s="1"/>
  <c r="H78" i="1"/>
  <c r="D74" i="1"/>
  <c r="C70" i="17" s="1"/>
  <c r="H73" i="1"/>
  <c r="H97" i="1"/>
  <c r="I76" i="1"/>
  <c r="D76" i="1"/>
  <c r="D78" i="1"/>
  <c r="C74" i="17" s="1"/>
  <c r="C78" i="17"/>
  <c r="H96" i="1"/>
  <c r="H75" i="1"/>
  <c r="D84" i="1"/>
  <c r="H77" i="1"/>
  <c r="G70" i="17" l="1"/>
  <c r="H86" i="1"/>
  <c r="G79" i="17" s="1"/>
  <c r="C72" i="17"/>
  <c r="D87" i="1"/>
  <c r="G83" i="17"/>
  <c r="D107" i="1"/>
  <c r="G69" i="17"/>
  <c r="I84" i="1"/>
  <c r="H114" i="1"/>
  <c r="G93" i="17" s="1"/>
  <c r="C88" i="17"/>
  <c r="G74" i="17"/>
  <c r="D97" i="1"/>
  <c r="G73" i="17"/>
  <c r="H84" i="1"/>
  <c r="G77" i="17" s="1"/>
  <c r="C82" i="17"/>
  <c r="I107" i="1"/>
  <c r="I78" i="1"/>
  <c r="H107" i="1"/>
  <c r="G90" i="17" s="1"/>
  <c r="C71" i="17"/>
  <c r="H94" i="1"/>
  <c r="G71" i="17"/>
  <c r="I86" i="1"/>
  <c r="H116" i="1"/>
  <c r="G121" i="17" s="1"/>
  <c r="C116" i="17"/>
  <c r="G84" i="17"/>
  <c r="I75" i="1"/>
  <c r="I74" i="1"/>
  <c r="C77" i="17"/>
  <c r="C84" i="17" l="1"/>
  <c r="I105" i="1"/>
  <c r="G81" i="17"/>
  <c r="D106" i="1"/>
  <c r="H115" i="1"/>
  <c r="G94" i="17" s="1"/>
  <c r="C90" i="17"/>
  <c r="C80" i="17"/>
  <c r="H105" i="1"/>
  <c r="G88" i="17" s="1"/>
  <c r="D115" i="1" l="1"/>
  <c r="C94" i="17" s="1"/>
  <c r="C89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<sst xmlns="http://schemas.openxmlformats.org/spreadsheetml/2006/main" count="708" uniqueCount="147">
  <si>
    <t>GROUP DRAW - ENGLISH CHAMPIONSHIPS ROUND 1 @ BRISTOL</t>
  </si>
  <si>
    <t>A</t>
  </si>
  <si>
    <t>B</t>
  </si>
  <si>
    <t>C</t>
  </si>
  <si>
    <t>D</t>
  </si>
  <si>
    <t>Chris Short</t>
  </si>
  <si>
    <t>Kevin Cordell</t>
  </si>
  <si>
    <t>Rudi Peters</t>
  </si>
  <si>
    <t>Mick Hammonds</t>
  </si>
  <si>
    <t>Stuart Briffett</t>
  </si>
  <si>
    <t>Jason Christopher</t>
  </si>
  <si>
    <t>Terry Arnold</t>
  </si>
  <si>
    <t>Rob Paterson</t>
  </si>
  <si>
    <t>Darren Barnes</t>
  </si>
  <si>
    <t>Nigel Morgan</t>
  </si>
  <si>
    <t>Adam Wells</t>
  </si>
  <si>
    <t>Gage Badger</t>
  </si>
  <si>
    <t>BYE</t>
  </si>
  <si>
    <t>Andy McGovern</t>
  </si>
  <si>
    <t>E</t>
  </si>
  <si>
    <t>F</t>
  </si>
  <si>
    <t>G</t>
  </si>
  <si>
    <t>H</t>
  </si>
  <si>
    <t>Aaron Skinner</t>
  </si>
  <si>
    <t>Richard Badger</t>
  </si>
  <si>
    <t>Kye Arnold</t>
  </si>
  <si>
    <t>Marco Ghigliotti</t>
  </si>
  <si>
    <t>Simon Hawley</t>
  </si>
  <si>
    <t>Alex Salter</t>
  </si>
  <si>
    <t>Mark Weaver</t>
  </si>
  <si>
    <t>Jamie Warren</t>
  </si>
  <si>
    <t>Richard Roper</t>
  </si>
  <si>
    <t>Rob Piggott</t>
  </si>
  <si>
    <t>Bob Fairbrother</t>
  </si>
  <si>
    <t>Connor Gregory</t>
  </si>
  <si>
    <t>Justin Scott</t>
  </si>
  <si>
    <t>Tony Banks</t>
  </si>
  <si>
    <t>Ian Sharp</t>
  </si>
  <si>
    <t>Simon Bodily</t>
  </si>
  <si>
    <t>I</t>
  </si>
  <si>
    <t>J</t>
  </si>
  <si>
    <t>K</t>
  </si>
  <si>
    <t>HEAD REFEREES:</t>
  </si>
  <si>
    <t>Victor Jones</t>
  </si>
  <si>
    <t>Paul Andreas</t>
  </si>
  <si>
    <t>Steve Wonnacott</t>
  </si>
  <si>
    <t>Alan Lee</t>
  </si>
  <si>
    <t>Rob Fitch</t>
  </si>
  <si>
    <t>Panos Stemitsiotis</t>
  </si>
  <si>
    <t>Adam Douglas</t>
  </si>
  <si>
    <t>Malcolm Jamieson</t>
  </si>
  <si>
    <t>Simon McMurray</t>
  </si>
  <si>
    <t>Dave Fletcher</t>
  </si>
  <si>
    <t>Simon Goodman</t>
  </si>
  <si>
    <t>Joe Parody</t>
  </si>
  <si>
    <t>PITCH</t>
  </si>
  <si>
    <t>GROUP</t>
  </si>
  <si>
    <t>PLAYER</t>
  </si>
  <si>
    <t>SESSION 1 - 9:30</t>
  </si>
  <si>
    <t>REFEREE</t>
  </si>
  <si>
    <t>HEAD: Victor Jones</t>
  </si>
  <si>
    <t>vs</t>
  </si>
  <si>
    <t>SESSION 2 - 10:10</t>
  </si>
  <si>
    <t>HEAD: Chris Short</t>
  </si>
  <si>
    <t>SESSION 3 - 10:50</t>
  </si>
  <si>
    <t>SESSION 4 - 11:30</t>
  </si>
  <si>
    <t>SESSION 5 - 12:10</t>
  </si>
  <si>
    <t>STAGE</t>
  </si>
  <si>
    <t>SESSION 6 - 1:30</t>
  </si>
  <si>
    <t>Barrage</t>
  </si>
  <si>
    <t>Richard  Badger</t>
  </si>
  <si>
    <t>Plate-Brg</t>
  </si>
  <si>
    <t>1 (0)</t>
  </si>
  <si>
    <t>1 (1)</t>
  </si>
  <si>
    <t>SESSION 7 - 2:20</t>
  </si>
  <si>
    <t>L16</t>
  </si>
  <si>
    <t>0(GG)</t>
  </si>
  <si>
    <t>1(GG)</t>
  </si>
  <si>
    <t>Plate-L16</t>
  </si>
  <si>
    <t xml:space="preserve">Tony Banks </t>
  </si>
  <si>
    <t>SESSION 8 - 3:10</t>
  </si>
  <si>
    <t xml:space="preserve">Chris Short </t>
  </si>
  <si>
    <t xml:space="preserve">Mark Weaver </t>
  </si>
  <si>
    <t>SESSION 9 - 4:00</t>
  </si>
  <si>
    <t xml:space="preserve">HEAD: </t>
  </si>
  <si>
    <t>QF</t>
  </si>
  <si>
    <t>Plate-QF</t>
  </si>
  <si>
    <t>SESSION 10 - 4:50</t>
  </si>
  <si>
    <t>HEAD: Kye Arnold</t>
  </si>
  <si>
    <t>Semi-Final</t>
  </si>
  <si>
    <t xml:space="preserve">Jason Christopher </t>
  </si>
  <si>
    <t xml:space="preserve">Rudi Peters </t>
  </si>
  <si>
    <t>Plate-SF</t>
  </si>
  <si>
    <t xml:space="preserve">Adam Douglas </t>
  </si>
  <si>
    <t xml:space="preserve">Connor Gregory </t>
  </si>
  <si>
    <t>SESSION 11 - 5:40</t>
  </si>
  <si>
    <t>Final</t>
  </si>
  <si>
    <t>Plate-Final</t>
  </si>
  <si>
    <t xml:space="preserve">Malcolm Jamieson </t>
  </si>
  <si>
    <t xml:space="preserve">Rob Paterson </t>
  </si>
  <si>
    <t>GROUP RESULTS</t>
  </si>
  <si>
    <t>Group A</t>
  </si>
  <si>
    <t>Group 1</t>
  </si>
  <si>
    <t>#</t>
  </si>
  <si>
    <t>Player</t>
  </si>
  <si>
    <t>Pts</t>
  </si>
  <si>
    <t>GD</t>
  </si>
  <si>
    <t>W</t>
  </si>
  <si>
    <t>L</t>
  </si>
  <si>
    <t>GF</t>
  </si>
  <si>
    <t>GA</t>
  </si>
  <si>
    <t>Rank</t>
  </si>
  <si>
    <t>Group B</t>
  </si>
  <si>
    <t>Group 2</t>
  </si>
  <si>
    <t>Group C</t>
  </si>
  <si>
    <t>Group 3</t>
  </si>
  <si>
    <t>Group D</t>
  </si>
  <si>
    <t>Group 4</t>
  </si>
  <si>
    <t>Group E</t>
  </si>
  <si>
    <t>Group 5</t>
  </si>
  <si>
    <t>Group F</t>
  </si>
  <si>
    <t>Group 6</t>
  </si>
  <si>
    <t>Group G</t>
  </si>
  <si>
    <t>Group 7</t>
  </si>
  <si>
    <t>Group H</t>
  </si>
  <si>
    <t>Group 8</t>
  </si>
  <si>
    <t>Group I</t>
  </si>
  <si>
    <t>Group 9</t>
  </si>
  <si>
    <t>Group J</t>
  </si>
  <si>
    <t>Group 10</t>
  </si>
  <si>
    <t>Group K</t>
  </si>
  <si>
    <t>Group 11</t>
  </si>
  <si>
    <t>BARRAGE</t>
  </si>
  <si>
    <t>LAST 16</t>
  </si>
  <si>
    <t>QUARTER-FINAL</t>
  </si>
  <si>
    <t>SEMI-FINAL</t>
  </si>
  <si>
    <t>FINAL</t>
  </si>
  <si>
    <t>PLATE BARRAGE</t>
  </si>
  <si>
    <t>PLATE LAST 16</t>
  </si>
  <si>
    <t>PLATE QF</t>
  </si>
  <si>
    <t>PLATE SEMI-FINAL</t>
  </si>
  <si>
    <t>PLATE FINAL</t>
  </si>
  <si>
    <t>Group</t>
  </si>
  <si>
    <t>1st</t>
  </si>
  <si>
    <t>2nd</t>
  </si>
  <si>
    <t>True Group</t>
  </si>
  <si>
    <t>Seeding Spot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</si>
</sst>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15">
    <font>
      <sz val="11"/>
      <color theme="1"/>
      <name val="Calibri"/>
      <family val="2"/>
      <scheme val="minor"/>
    </font>
    <font>
      <sz val="11"/>
      <color theme="1"/>
      <name val="Aptos Narrow"/>
    </font>
    <font>
      <sz val="12"/>
      <color theme="1"/>
      <name val="Aptos Narrow"/>
    </font>
    <font>
      <sz val="11"/>
      <name val="Aptos Narrow"/>
    </font>
    <font>
      <sz val="12"/>
      <name val="Aptos Narrow"/>
    </font>
    <font>
      <sz val="12"/>
      <color theme="2"/>
      <name val="Aptos Narrow"/>
    </font>
    <font>
      <b/>
      <sz val="14"/>
      <color theme="0"/>
      <name val="Aptos Narrow"/>
      <family val="2"/>
    </font>
    <font>
      <b/>
      <sz val="12"/>
      <color theme="0"/>
      <name val="Aptos Narrow"/>
      <family val="2"/>
    </font>
    <font>
      <b/>
      <sz val="11"/>
      <color theme="0"/>
      <name val="Aptos Narrow"/>
      <family val="2"/>
    </font>
    <font>
      <sz val="10"/>
      <color theme="1"/>
      <name val="Abadi"/>
      <family val="2"/>
    </font>
    <font>
      <sz val="11"/>
      <color theme="1"/>
      <name val="Aptos Narrow"/>
      <family val="2"/>
    </font>
    <font>
      <b/>
      <sz val="11"/>
      <color theme="1"/>
      <name val="Aptos Narrow"/>
      <family val="2"/>
    </font>
    <font>
      <b/>
      <sz val="10"/>
      <color theme="1"/>
      <name val="Abadi"/>
      <family val="2"/>
    </font>
    <font>
      <sz val="12"/>
      <name val="Aptos Narrow"/>
      <family val="2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669E40"/>
        <bgColor indexed="64"/>
      </patternFill>
    </fill>
    <fill>
      <patternFill patternType="solid">
        <fgColor rgb="FF8F45C7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4" fillId="0" borderId="0" applyFont="0" applyFill="0" applyBorder="0" applyAlignment="0" applyProtection="0"/>
  </cellStyleXfs>
  <cellXfs count="16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32" xfId="0" applyFont="1" applyBorder="1" applyAlignment="1">
      <alignment horizontal="center" vertical="center"/>
    </xf>
    <xf numFmtId="0" fontId="1" fillId="0" borderId="26" xfId="0" applyFont="1" applyBorder="1" applyAlignment="1">
      <alignment horizontal="right" vertical="center"/>
    </xf>
    <xf numFmtId="0" fontId="1" fillId="0" borderId="7" xfId="0" quotePrefix="1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quotePrefix="1" applyFont="1" applyBorder="1" applyAlignment="1">
      <alignment horizontal="center" vertical="center"/>
    </xf>
    <xf numFmtId="0" fontId="1" fillId="0" borderId="29" xfId="0" applyFont="1" applyBorder="1" applyAlignment="1">
      <alignment horizontal="left" vertical="center"/>
    </xf>
    <xf numFmtId="0" fontId="1" fillId="0" borderId="29" xfId="0" applyFont="1" applyBorder="1" applyAlignment="1">
      <alignment horizontal="right" vertical="center"/>
    </xf>
    <xf numFmtId="0" fontId="1" fillId="0" borderId="33" xfId="0" applyFont="1" applyBorder="1" applyAlignment="1">
      <alignment horizontal="center" vertical="center"/>
    </xf>
    <xf numFmtId="0" fontId="1" fillId="0" borderId="27" xfId="0" applyFont="1" applyBorder="1" applyAlignment="1">
      <alignment horizontal="right" vertical="center"/>
    </xf>
    <xf numFmtId="0" fontId="1" fillId="0" borderId="10" xfId="0" quotePrefix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1" xfId="0" quotePrefix="1" applyFont="1" applyBorder="1" applyAlignment="1">
      <alignment horizontal="center" vertical="center"/>
    </xf>
    <xf numFmtId="0" fontId="1" fillId="0" borderId="25" xfId="0" applyFont="1" applyBorder="1" applyAlignment="1">
      <alignment horizontal="left" vertical="center"/>
    </xf>
    <xf numFmtId="0" fontId="1" fillId="0" borderId="25" xfId="0" applyFont="1" applyBorder="1" applyAlignment="1">
      <alignment horizontal="right" vertical="center"/>
    </xf>
    <xf numFmtId="0" fontId="1" fillId="3" borderId="33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right" vertical="center"/>
    </xf>
    <xf numFmtId="0" fontId="1" fillId="3" borderId="10" xfId="0" quotePrefix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1" xfId="0" quotePrefix="1" applyFont="1" applyFill="1" applyBorder="1" applyAlignment="1">
      <alignment horizontal="center" vertical="center"/>
    </xf>
    <xf numFmtId="0" fontId="1" fillId="3" borderId="25" xfId="0" applyFont="1" applyFill="1" applyBorder="1" applyAlignment="1">
      <alignment horizontal="left" vertical="center"/>
    </xf>
    <xf numFmtId="0" fontId="1" fillId="3" borderId="25" xfId="0" applyFont="1" applyFill="1" applyBorder="1" applyAlignment="1">
      <alignment horizontal="right" vertical="center"/>
    </xf>
    <xf numFmtId="0" fontId="1" fillId="3" borderId="34" xfId="0" applyFont="1" applyFill="1" applyBorder="1" applyAlignment="1">
      <alignment horizontal="center" vertical="center"/>
    </xf>
    <xf numFmtId="0" fontId="1" fillId="3" borderId="28" xfId="0" applyFont="1" applyFill="1" applyBorder="1" applyAlignment="1">
      <alignment horizontal="right" vertical="center"/>
    </xf>
    <xf numFmtId="0" fontId="1" fillId="3" borderId="12" xfId="0" quotePrefix="1" applyFont="1" applyFill="1" applyBorder="1" applyAlignment="1">
      <alignment horizontal="center" vertical="center"/>
    </xf>
    <xf numFmtId="0" fontId="1" fillId="3" borderId="13" xfId="0" applyFont="1" applyFill="1" applyBorder="1" applyAlignment="1">
      <alignment horizontal="center" vertical="center"/>
    </xf>
    <xf numFmtId="0" fontId="1" fillId="3" borderId="14" xfId="0" quotePrefix="1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left" vertical="center"/>
    </xf>
    <xf numFmtId="0" fontId="1" fillId="3" borderId="24" xfId="0" applyFont="1" applyFill="1" applyBorder="1" applyAlignment="1">
      <alignment horizontal="right" vertical="center"/>
    </xf>
    <xf numFmtId="0" fontId="1" fillId="0" borderId="34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3" fillId="0" borderId="0" xfId="0" applyFont="1"/>
    <xf numFmtId="0" fontId="1" fillId="0" borderId="7" xfId="0" applyFont="1" applyBorder="1" applyAlignment="1">
      <alignment horizontal="right" vertical="center"/>
    </xf>
    <xf numFmtId="0" fontId="1" fillId="0" borderId="9" xfId="0" applyFont="1" applyBorder="1" applyAlignment="1">
      <alignment horizontal="left" vertical="center"/>
    </xf>
    <xf numFmtId="0" fontId="2" fillId="0" borderId="0" xfId="0" applyFont="1"/>
    <xf numFmtId="0" fontId="1" fillId="0" borderId="10" xfId="0" applyFont="1" applyBorder="1" applyAlignment="1">
      <alignment horizontal="right" vertical="center"/>
    </xf>
    <xf numFmtId="0" fontId="1" fillId="0" borderId="11" xfId="0" applyFont="1" applyBorder="1" applyAlignment="1">
      <alignment horizontal="left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1" fillId="3" borderId="10" xfId="0" applyFont="1" applyFill="1" applyBorder="1" applyAlignment="1">
      <alignment horizontal="right" vertical="center"/>
    </xf>
    <xf numFmtId="0" fontId="1" fillId="3" borderId="11" xfId="0" applyFont="1" applyFill="1" applyBorder="1" applyAlignment="1">
      <alignment horizontal="left" vertical="center"/>
    </xf>
    <xf numFmtId="0" fontId="5" fillId="0" borderId="0" xfId="0" applyFont="1"/>
    <xf numFmtId="0" fontId="1" fillId="3" borderId="12" xfId="0" applyFont="1" applyFill="1" applyBorder="1" applyAlignment="1">
      <alignment horizontal="right" vertical="center"/>
    </xf>
    <xf numFmtId="0" fontId="1" fillId="3" borderId="14" xfId="0" applyFont="1" applyFill="1" applyBorder="1" applyAlignment="1">
      <alignment horizontal="left" vertical="center"/>
    </xf>
    <xf numFmtId="0" fontId="1" fillId="0" borderId="12" xfId="0" applyFont="1" applyBorder="1" applyAlignment="1">
      <alignment horizontal="right" vertical="center"/>
    </xf>
    <xf numFmtId="0" fontId="1" fillId="0" borderId="14" xfId="0" applyFont="1" applyBorder="1" applyAlignment="1">
      <alignment horizontal="left" vertical="center"/>
    </xf>
    <xf numFmtId="0" fontId="1" fillId="3" borderId="7" xfId="0" applyFont="1" applyFill="1" applyBorder="1" applyAlignment="1">
      <alignment horizontal="right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left" vertical="center"/>
    </xf>
    <xf numFmtId="0" fontId="2" fillId="0" borderId="35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1" fillId="0" borderId="32" xfId="0" applyFont="1" applyBorder="1" applyAlignment="1">
      <alignment horizontal="right" vertical="center"/>
    </xf>
    <xf numFmtId="0" fontId="1" fillId="0" borderId="33" xfId="0" applyFont="1" applyBorder="1" applyAlignment="1">
      <alignment horizontal="right" vertical="center"/>
    </xf>
    <xf numFmtId="0" fontId="1" fillId="3" borderId="33" xfId="0" applyFont="1" applyFill="1" applyBorder="1" applyAlignment="1">
      <alignment horizontal="right" vertical="center"/>
    </xf>
    <xf numFmtId="0" fontId="1" fillId="3" borderId="34" xfId="0" applyFont="1" applyFill="1" applyBorder="1" applyAlignment="1">
      <alignment horizontal="right" vertical="center"/>
    </xf>
    <xf numFmtId="0" fontId="1" fillId="0" borderId="28" xfId="0" applyFont="1" applyBorder="1" applyAlignment="1">
      <alignment horizontal="right" vertical="center"/>
    </xf>
    <xf numFmtId="0" fontId="1" fillId="0" borderId="24" xfId="0" applyFont="1" applyBorder="1" applyAlignment="1">
      <alignment horizontal="left" vertical="center"/>
    </xf>
    <xf numFmtId="0" fontId="1" fillId="0" borderId="12" xfId="0" quotePrefix="1" applyFont="1" applyBorder="1" applyAlignment="1">
      <alignment horizontal="center" vertical="center"/>
    </xf>
    <xf numFmtId="0" fontId="1" fillId="0" borderId="14" xfId="0" quotePrefix="1" applyFont="1" applyBorder="1" applyAlignment="1">
      <alignment horizontal="center" vertical="center"/>
    </xf>
    <xf numFmtId="0" fontId="1" fillId="0" borderId="34" xfId="0" applyFont="1" applyBorder="1" applyAlignment="1">
      <alignment horizontal="right" vertical="center"/>
    </xf>
    <xf numFmtId="0" fontId="7" fillId="5" borderId="2" xfId="0" applyFont="1" applyFill="1" applyBorder="1" applyAlignment="1">
      <alignment horizontal="center" vertical="center"/>
    </xf>
    <xf numFmtId="0" fontId="8" fillId="5" borderId="15" xfId="0" applyFont="1" applyFill="1" applyBorder="1" applyAlignment="1">
      <alignment horizontal="center" vertical="center"/>
    </xf>
    <xf numFmtId="0" fontId="7" fillId="5" borderId="20" xfId="0" applyFont="1" applyFill="1" applyBorder="1" applyAlignment="1">
      <alignment horizontal="center" vertical="center"/>
    </xf>
    <xf numFmtId="0" fontId="7" fillId="5" borderId="21" xfId="0" applyFont="1" applyFill="1" applyBorder="1" applyAlignment="1">
      <alignment horizontal="center" vertical="center"/>
    </xf>
    <xf numFmtId="0" fontId="7" fillId="5" borderId="22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9" fillId="0" borderId="47" xfId="0" applyFont="1" applyBorder="1" applyAlignment="1">
      <alignment horizontal="center"/>
    </xf>
    <xf numFmtId="0" fontId="10" fillId="0" borderId="32" xfId="0" applyFont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3" borderId="33" xfId="0" applyFont="1" applyFill="1" applyBorder="1" applyAlignment="1">
      <alignment horizontal="center" vertical="center"/>
    </xf>
    <xf numFmtId="0" fontId="10" fillId="3" borderId="34" xfId="0" applyFont="1" applyFill="1" applyBorder="1" applyAlignment="1">
      <alignment horizontal="center" vertical="center"/>
    </xf>
    <xf numFmtId="0" fontId="10" fillId="0" borderId="0" xfId="0" applyFont="1" applyAlignment="1">
      <alignment wrapText="1"/>
    </xf>
    <xf numFmtId="0" fontId="10" fillId="0" borderId="0" xfId="0" applyFont="1"/>
    <xf numFmtId="0" fontId="11" fillId="0" borderId="0" xfId="0" applyFont="1"/>
    <xf numFmtId="0" fontId="11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2" fillId="0" borderId="30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12" fillId="0" borderId="31" xfId="0" applyFont="1" applyBorder="1" applyAlignment="1">
      <alignment horizontal="center"/>
    </xf>
    <xf numFmtId="0" fontId="12" fillId="0" borderId="44" xfId="0" applyFont="1" applyBorder="1" applyAlignment="1">
      <alignment horizontal="center"/>
    </xf>
    <xf numFmtId="0" fontId="12" fillId="0" borderId="46" xfId="0" applyFont="1" applyBorder="1" applyAlignment="1">
      <alignment horizontal="center"/>
    </xf>
    <xf numFmtId="0" fontId="12" fillId="0" borderId="45" xfId="0" applyFont="1" applyBorder="1" applyAlignment="1">
      <alignment horizontal="center"/>
    </xf>
    <xf numFmtId="0" fontId="12" fillId="0" borderId="48" xfId="0" applyFont="1" applyBorder="1" applyAlignment="1">
      <alignment horizontal="center"/>
    </xf>
    <xf numFmtId="0" fontId="13" fillId="0" borderId="15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16" xfId="0" quotePrefix="1" applyFont="1" applyBorder="1" applyAlignment="1">
      <alignment horizontal="center" vertical="center"/>
    </xf>
    <xf numFmtId="0" fontId="8" fillId="5" borderId="30" xfId="0" applyFont="1" applyFill="1" applyBorder="1" applyAlignment="1">
      <alignment horizontal="center" vertical="center"/>
    </xf>
    <xf numFmtId="0" fontId="8" fillId="5" borderId="23" xfId="0" applyFont="1" applyFill="1" applyBorder="1" applyAlignment="1">
      <alignment horizontal="center" vertical="center"/>
    </xf>
    <xf numFmtId="0" fontId="8" fillId="5" borderId="31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/>
    </xf>
    <xf numFmtId="0" fontId="1" fillId="3" borderId="28" xfId="0" applyFont="1" applyFill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164" fontId="6" fillId="5" borderId="18" xfId="1" applyFont="1" applyFill="1" applyBorder="1" applyAlignment="1">
      <alignment horizontal="center"/>
    </xf>
    <xf numFmtId="164" fontId="6" fillId="5" borderId="6" xfId="1" applyFont="1" applyFill="1" applyBorder="1" applyAlignment="1">
      <alignment horizontal="center"/>
    </xf>
    <xf numFmtId="164" fontId="6" fillId="5" borderId="19" xfId="1" applyFont="1" applyFill="1" applyBorder="1" applyAlignment="1">
      <alignment horizontal="center"/>
    </xf>
    <xf numFmtId="0" fontId="8" fillId="5" borderId="30" xfId="0" applyFont="1" applyFill="1" applyBorder="1" applyAlignment="1">
      <alignment horizontal="center" vertical="center"/>
    </xf>
    <xf numFmtId="0" fontId="8" fillId="5" borderId="23" xfId="0" applyFont="1" applyFill="1" applyBorder="1" applyAlignment="1">
      <alignment horizontal="center" vertical="center"/>
    </xf>
    <xf numFmtId="0" fontId="8" fillId="5" borderId="31" xfId="0" applyFont="1" applyFill="1" applyBorder="1" applyAlignment="1">
      <alignment horizontal="center" vertical="center"/>
    </xf>
    <xf numFmtId="0" fontId="8" fillId="5" borderId="18" xfId="0" applyFont="1" applyFill="1" applyBorder="1" applyAlignment="1">
      <alignment horizontal="center" vertical="center"/>
    </xf>
    <xf numFmtId="0" fontId="8" fillId="5" borderId="6" xfId="0" applyFont="1" applyFill="1" applyBorder="1" applyAlignment="1">
      <alignment horizontal="center" vertical="center"/>
    </xf>
    <xf numFmtId="0" fontId="8" fillId="5" borderId="19" xfId="0" applyFont="1" applyFill="1" applyBorder="1" applyAlignment="1">
      <alignment horizontal="center" vertical="center"/>
    </xf>
    <xf numFmtId="0" fontId="7" fillId="5" borderId="41" xfId="0" applyFont="1" applyFill="1" applyBorder="1" applyAlignment="1">
      <alignment horizontal="center"/>
    </xf>
    <xf numFmtId="0" fontId="7" fillId="5" borderId="42" xfId="0" applyFont="1" applyFill="1" applyBorder="1" applyAlignment="1">
      <alignment horizontal="center"/>
    </xf>
    <xf numFmtId="0" fontId="7" fillId="5" borderId="43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4" fillId="4" borderId="5" xfId="0" applyFont="1" applyFill="1" applyBorder="1" applyAlignment="1">
      <alignment horizontal="center"/>
    </xf>
    <xf numFmtId="0" fontId="7" fillId="5" borderId="3" xfId="0" applyFont="1" applyFill="1" applyBorder="1" applyAlignment="1">
      <alignment horizontal="center"/>
    </xf>
    <xf numFmtId="0" fontId="7" fillId="5" borderId="4" xfId="0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/>
    </xf>
    <xf numFmtId="0" fontId="1" fillId="3" borderId="26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/>
    </xf>
    <xf numFmtId="0" fontId="1" fillId="3" borderId="28" xfId="0" applyFont="1" applyFill="1" applyBorder="1" applyAlignment="1">
      <alignment horizontal="center" vertical="center"/>
    </xf>
    <xf numFmtId="0" fontId="7" fillId="5" borderId="38" xfId="0" applyFont="1" applyFill="1" applyBorder="1" applyAlignment="1">
      <alignment horizontal="center"/>
    </xf>
    <xf numFmtId="0" fontId="7" fillId="5" borderId="39" xfId="0" applyFont="1" applyFill="1" applyBorder="1" applyAlignment="1">
      <alignment horizontal="center"/>
    </xf>
    <xf numFmtId="0" fontId="7" fillId="5" borderId="40" xfId="0" applyFont="1" applyFill="1" applyBorder="1" applyAlignment="1">
      <alignment horizontal="center"/>
    </xf>
    <xf numFmtId="0" fontId="1" fillId="3" borderId="49" xfId="0" applyFont="1" applyFill="1" applyBorder="1" applyAlignment="1">
      <alignment horizontal="center" vertical="center"/>
    </xf>
    <xf numFmtId="0" fontId="1" fillId="3" borderId="50" xfId="0" applyFont="1" applyFill="1" applyBorder="1" applyAlignment="1">
      <alignment horizontal="center" vertical="center"/>
    </xf>
    <xf numFmtId="0" fontId="1" fillId="3" borderId="51" xfId="0" applyFont="1" applyFill="1" applyBorder="1" applyAlignment="1">
      <alignment horizontal="center" vertical="center"/>
    </xf>
    <xf numFmtId="0" fontId="1" fillId="3" borderId="46" xfId="0" applyFont="1" applyFill="1" applyBorder="1" applyAlignment="1">
      <alignment horizontal="center" vertical="center"/>
    </xf>
    <xf numFmtId="0" fontId="1" fillId="3" borderId="47" xfId="0" applyFont="1" applyFill="1" applyBorder="1" applyAlignment="1">
      <alignment horizontal="center" vertical="center"/>
    </xf>
    <xf numFmtId="0" fontId="1" fillId="3" borderId="48" xfId="0" applyFont="1" applyFill="1" applyBorder="1" applyAlignment="1">
      <alignment horizontal="center" vertical="center"/>
    </xf>
    <xf numFmtId="0" fontId="1" fillId="0" borderId="49" xfId="0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/>
    </xf>
    <xf numFmtId="0" fontId="1" fillId="0" borderId="51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8F45C7"/>
      <color rgb="FF934311"/>
      <color rgb="FF669E4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4d2d0d3893c26cc0/Documents/32%20Players%20Online%20New%20Champs%20Test%202.xlsx" TargetMode="External"/><Relationship Id="rId1" Type="http://schemas.openxmlformats.org/officeDocument/2006/relationships/externalLinkPath" Target="32%20Players%20Online%20New%20Champs%20Test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roupDraw"/>
      <sheetName val="Fixtures"/>
      <sheetName val="Results"/>
      <sheetName val="Post-Group Draw"/>
    </sheetNames>
    <sheetDataSet>
      <sheetData sheetId="0" refreshError="1"/>
      <sheetData sheetId="1" refreshError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A51EA-4E2D-4818-BCC3-AB78BEC3E803}">
  <dimension ref="B1:E17"/>
  <sheetViews>
    <sheetView showGridLines="0" zoomScale="170" zoomScaleNormal="170" workbookViewId="0">
      <selection activeCell="G10" sqref="G10"/>
    </sheetView>
  </sheetViews>
  <sheetFormatPr defaultColWidth="9.140625" defaultRowHeight="14.45"/>
  <cols>
    <col min="1" max="1" width="2.28515625" style="1" customWidth="1"/>
    <col min="2" max="5" width="19" style="1" customWidth="1"/>
    <col min="6" max="16384" width="9.140625" style="1"/>
  </cols>
  <sheetData>
    <row r="1" spans="2:5" ht="15" thickBot="1"/>
    <row r="2" spans="2:5" ht="18.600000000000001" thickBot="1">
      <c r="B2" s="121" t="s">
        <v>0</v>
      </c>
      <c r="C2" s="122"/>
      <c r="D2" s="122"/>
      <c r="E2" s="123"/>
    </row>
    <row r="3" spans="2:5" ht="16.149999999999999" thickBot="1">
      <c r="B3" s="82" t="s">
        <v>1</v>
      </c>
      <c r="C3" s="82" t="s">
        <v>2</v>
      </c>
      <c r="D3" s="82" t="s">
        <v>3</v>
      </c>
      <c r="E3" s="82" t="s">
        <v>4</v>
      </c>
    </row>
    <row r="4" spans="2:5" ht="15.6">
      <c r="B4" s="109" t="s">
        <v>5</v>
      </c>
      <c r="C4" s="109" t="s">
        <v>6</v>
      </c>
      <c r="D4" s="109" t="s">
        <v>7</v>
      </c>
      <c r="E4" s="109" t="s">
        <v>8</v>
      </c>
    </row>
    <row r="5" spans="2:5" ht="15.6">
      <c r="B5" s="110" t="s">
        <v>9</v>
      </c>
      <c r="C5" s="110" t="s">
        <v>10</v>
      </c>
      <c r="D5" s="110" t="s">
        <v>11</v>
      </c>
      <c r="E5" s="110" t="s">
        <v>12</v>
      </c>
    </row>
    <row r="6" spans="2:5" ht="15.6">
      <c r="B6" s="110" t="s">
        <v>13</v>
      </c>
      <c r="C6" s="110" t="s">
        <v>14</v>
      </c>
      <c r="D6" s="110" t="s">
        <v>15</v>
      </c>
      <c r="E6" s="110" t="s">
        <v>16</v>
      </c>
    </row>
    <row r="7" spans="2:5" ht="16.149999999999999" thickBot="1">
      <c r="B7" s="111"/>
      <c r="C7" s="111"/>
      <c r="D7" s="111" t="s">
        <v>17</v>
      </c>
      <c r="E7" s="111" t="s">
        <v>18</v>
      </c>
    </row>
    <row r="8" spans="2:5" ht="16.149999999999999" thickBot="1">
      <c r="B8" s="82" t="s">
        <v>19</v>
      </c>
      <c r="C8" s="82" t="s">
        <v>20</v>
      </c>
      <c r="D8" s="82" t="s">
        <v>21</v>
      </c>
      <c r="E8" s="82" t="s">
        <v>22</v>
      </c>
    </row>
    <row r="9" spans="2:5" ht="15.6">
      <c r="B9" s="109" t="s">
        <v>23</v>
      </c>
      <c r="C9" s="109" t="s">
        <v>24</v>
      </c>
      <c r="D9" s="109" t="s">
        <v>25</v>
      </c>
      <c r="E9" s="109" t="s">
        <v>26</v>
      </c>
    </row>
    <row r="10" spans="2:5" ht="15.6">
      <c r="B10" s="112" t="s">
        <v>27</v>
      </c>
      <c r="C10" s="110" t="s">
        <v>28</v>
      </c>
      <c r="D10" s="110" t="s">
        <v>29</v>
      </c>
      <c r="E10" s="112" t="s">
        <v>30</v>
      </c>
    </row>
    <row r="11" spans="2:5" ht="15.6">
      <c r="B11" s="110" t="s">
        <v>31</v>
      </c>
      <c r="C11" s="110" t="s">
        <v>32</v>
      </c>
      <c r="D11" s="110" t="s">
        <v>33</v>
      </c>
      <c r="E11" s="110" t="s">
        <v>34</v>
      </c>
    </row>
    <row r="12" spans="2:5" ht="16.149999999999999" thickBot="1">
      <c r="B12" s="111" t="s">
        <v>35</v>
      </c>
      <c r="C12" s="111" t="s">
        <v>36</v>
      </c>
      <c r="D12" s="111" t="s">
        <v>37</v>
      </c>
      <c r="E12" s="111" t="s">
        <v>38</v>
      </c>
    </row>
    <row r="13" spans="2:5" ht="16.149999999999999" thickBot="1">
      <c r="B13" s="82" t="s">
        <v>39</v>
      </c>
      <c r="C13" s="82" t="s">
        <v>40</v>
      </c>
      <c r="D13" s="82" t="s">
        <v>41</v>
      </c>
      <c r="E13" s="1" t="s">
        <v>42</v>
      </c>
    </row>
    <row r="14" spans="2:5" ht="15.6">
      <c r="B14" s="109" t="s">
        <v>43</v>
      </c>
      <c r="C14" s="109" t="s">
        <v>44</v>
      </c>
      <c r="D14" s="109" t="s">
        <v>45</v>
      </c>
      <c r="E14" s="1" t="s">
        <v>5</v>
      </c>
    </row>
    <row r="15" spans="2:5" ht="15.6">
      <c r="B15" s="112" t="s">
        <v>46</v>
      </c>
      <c r="C15" s="110" t="s">
        <v>47</v>
      </c>
      <c r="D15" s="110" t="s">
        <v>48</v>
      </c>
      <c r="E15" s="1" t="s">
        <v>43</v>
      </c>
    </row>
    <row r="16" spans="2:5" ht="15.6">
      <c r="B16" s="110" t="s">
        <v>49</v>
      </c>
      <c r="C16" s="110" t="s">
        <v>50</v>
      </c>
      <c r="D16" s="110" t="s">
        <v>51</v>
      </c>
      <c r="E16" s="1" t="s">
        <v>46</v>
      </c>
    </row>
    <row r="17" spans="2:4" ht="16.149999999999999" thickBot="1">
      <c r="B17" s="111" t="s">
        <v>52</v>
      </c>
      <c r="C17" s="111" t="s">
        <v>53</v>
      </c>
      <c r="D17" s="111" t="s">
        <v>54</v>
      </c>
    </row>
  </sheetData>
  <mergeCells count="1">
    <mergeCell ref="B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A96DD0-70CE-4D55-8D28-98A4BE2DBF81}">
  <dimension ref="B1:L121"/>
  <sheetViews>
    <sheetView showGridLines="0" topLeftCell="B73" zoomScaleNormal="100" workbookViewId="0">
      <selection activeCell="E102" sqref="E102"/>
    </sheetView>
  </sheetViews>
  <sheetFormatPr defaultColWidth="8.85546875" defaultRowHeight="14.45"/>
  <cols>
    <col min="1" max="1" width="5.7109375" style="1" customWidth="1"/>
    <col min="2" max="2" width="6.140625" style="1" bestFit="1" customWidth="1"/>
    <col min="3" max="3" width="9.7109375" style="1" bestFit="1" customWidth="1"/>
    <col min="4" max="4" width="18.42578125" style="1" customWidth="1"/>
    <col min="5" max="5" width="5.5703125" style="1" customWidth="1"/>
    <col min="6" max="6" width="5.5703125" style="2" customWidth="1"/>
    <col min="7" max="7" width="5.5703125" style="1" customWidth="1"/>
    <col min="8" max="8" width="18.42578125" style="1" customWidth="1"/>
    <col min="9" max="9" width="18.28515625" style="1" customWidth="1"/>
    <col min="10" max="11" width="8.85546875" style="1"/>
    <col min="12" max="12" width="47" style="1" customWidth="1"/>
    <col min="13" max="16384" width="8.85546875" style="1"/>
  </cols>
  <sheetData>
    <row r="1" spans="2:10" ht="15.6" customHeight="1"/>
    <row r="2" spans="2:10" ht="15.6" customHeight="1" thickBot="1">
      <c r="B2" s="113" t="s">
        <v>55</v>
      </c>
      <c r="C2" s="83" t="s">
        <v>56</v>
      </c>
      <c r="D2" s="113" t="s">
        <v>57</v>
      </c>
      <c r="E2" s="124" t="s">
        <v>58</v>
      </c>
      <c r="F2" s="125"/>
      <c r="G2" s="126"/>
      <c r="H2" s="115" t="s">
        <v>57</v>
      </c>
      <c r="I2" s="83" t="s">
        <v>59</v>
      </c>
      <c r="J2" s="1" t="s">
        <v>60</v>
      </c>
    </row>
    <row r="3" spans="2:10" ht="15.6" customHeight="1">
      <c r="B3" s="118">
        <v>1</v>
      </c>
      <c r="C3" s="92" t="s">
        <v>1</v>
      </c>
      <c r="D3" s="4" t="str">
        <f>GroupDraw!B4</f>
        <v>Chris Short</v>
      </c>
      <c r="E3" s="5">
        <v>5</v>
      </c>
      <c r="F3" s="6" t="s">
        <v>61</v>
      </c>
      <c r="G3" s="7">
        <v>0</v>
      </c>
      <c r="H3" s="8" t="str">
        <f>GroupDraw!B6</f>
        <v>Darren Barnes</v>
      </c>
      <c r="I3" s="73" t="str">
        <f>GroupDraw!B15</f>
        <v>Alan Lee</v>
      </c>
    </row>
    <row r="4" spans="2:10" ht="15.6" customHeight="1">
      <c r="B4" s="119">
        <v>2</v>
      </c>
      <c r="C4" s="93" t="s">
        <v>2</v>
      </c>
      <c r="D4" s="11" t="str">
        <f>GroupDraw!C4</f>
        <v>Kevin Cordell</v>
      </c>
      <c r="E4" s="12">
        <v>5</v>
      </c>
      <c r="F4" s="13" t="s">
        <v>61</v>
      </c>
      <c r="G4" s="14">
        <v>0</v>
      </c>
      <c r="H4" s="15" t="str">
        <f>GroupDraw!C6</f>
        <v>Nigel Morgan</v>
      </c>
      <c r="I4" s="74" t="str">
        <f>GroupDraw!B17</f>
        <v>Dave Fletcher</v>
      </c>
    </row>
    <row r="5" spans="2:10" ht="15.6" customHeight="1">
      <c r="B5" s="116">
        <v>3</v>
      </c>
      <c r="C5" s="94" t="s">
        <v>3</v>
      </c>
      <c r="D5" s="18" t="str">
        <f>GroupDraw!D4</f>
        <v>Rudi Peters</v>
      </c>
      <c r="E5" s="19">
        <v>5</v>
      </c>
      <c r="F5" s="20" t="s">
        <v>61</v>
      </c>
      <c r="G5" s="21">
        <v>0</v>
      </c>
      <c r="H5" s="22" t="str">
        <f>GroupDraw!D7</f>
        <v>BYE</v>
      </c>
      <c r="I5" s="75" t="str">
        <f>GroupDraw!C14</f>
        <v>Paul Andreas</v>
      </c>
    </row>
    <row r="6" spans="2:10" ht="15.6" customHeight="1">
      <c r="B6" s="116">
        <v>4</v>
      </c>
      <c r="C6" s="94" t="s">
        <v>3</v>
      </c>
      <c r="D6" s="18" t="str">
        <f>GroupDraw!D5</f>
        <v>Terry Arnold</v>
      </c>
      <c r="E6" s="19">
        <v>2</v>
      </c>
      <c r="F6" s="20" t="s">
        <v>61</v>
      </c>
      <c r="G6" s="21">
        <v>2</v>
      </c>
      <c r="H6" s="22" t="str">
        <f>GroupDraw!D6</f>
        <v>Adam Wells</v>
      </c>
      <c r="I6" s="75" t="str">
        <f>GroupDraw!E12</f>
        <v>Simon Bodily</v>
      </c>
    </row>
    <row r="7" spans="2:10" ht="15.6" customHeight="1">
      <c r="B7" s="119">
        <v>5</v>
      </c>
      <c r="C7" s="93" t="s">
        <v>4</v>
      </c>
      <c r="D7" s="11" t="str">
        <f>GroupDraw!E4</f>
        <v>Mick Hammonds</v>
      </c>
      <c r="E7" s="12">
        <v>5</v>
      </c>
      <c r="F7" s="13" t="s">
        <v>61</v>
      </c>
      <c r="G7" s="14">
        <v>0</v>
      </c>
      <c r="H7" s="15" t="str">
        <f>GroupDraw!E7</f>
        <v>Andy McGovern</v>
      </c>
      <c r="I7" s="74" t="str">
        <f>GroupDraw!D17</f>
        <v>Joe Parody</v>
      </c>
    </row>
    <row r="8" spans="2:10" ht="15.6" customHeight="1">
      <c r="B8" s="119">
        <v>6</v>
      </c>
      <c r="C8" s="93" t="s">
        <v>4</v>
      </c>
      <c r="D8" s="11" t="str">
        <f>GroupDraw!E5</f>
        <v>Rob Paterson</v>
      </c>
      <c r="E8" s="12">
        <v>0</v>
      </c>
      <c r="F8" s="13" t="s">
        <v>61</v>
      </c>
      <c r="G8" s="14">
        <v>1</v>
      </c>
      <c r="H8" s="15" t="str">
        <f>GroupDraw!E6</f>
        <v>Gage Badger</v>
      </c>
      <c r="I8" s="74" t="str">
        <f>GroupDraw!D14</f>
        <v>Steve Wonnacott</v>
      </c>
    </row>
    <row r="9" spans="2:10" ht="15.6" customHeight="1">
      <c r="B9" s="116">
        <v>7</v>
      </c>
      <c r="C9" s="94" t="s">
        <v>19</v>
      </c>
      <c r="D9" s="18" t="str">
        <f>GroupDraw!B9</f>
        <v>Aaron Skinner</v>
      </c>
      <c r="E9" s="19">
        <v>2</v>
      </c>
      <c r="F9" s="20" t="s">
        <v>61</v>
      </c>
      <c r="G9" s="21">
        <v>2</v>
      </c>
      <c r="H9" s="22" t="str">
        <f>GroupDraw!B12</f>
        <v>Justin Scott</v>
      </c>
      <c r="I9" s="75" t="str">
        <f>GroupDraw!E9</f>
        <v>Marco Ghigliotti</v>
      </c>
    </row>
    <row r="10" spans="2:10" ht="15.6" customHeight="1">
      <c r="B10" s="116">
        <v>8</v>
      </c>
      <c r="C10" s="94" t="s">
        <v>19</v>
      </c>
      <c r="D10" s="18" t="str">
        <f>GroupDraw!B10</f>
        <v>Simon Hawley</v>
      </c>
      <c r="E10" s="19">
        <v>1</v>
      </c>
      <c r="F10" s="20" t="s">
        <v>61</v>
      </c>
      <c r="G10" s="21">
        <v>2</v>
      </c>
      <c r="H10" s="22" t="str">
        <f>GroupDraw!B11</f>
        <v>Richard Roper</v>
      </c>
      <c r="I10" s="75" t="str">
        <f>GroupDraw!B16</f>
        <v>Adam Douglas</v>
      </c>
    </row>
    <row r="11" spans="2:10" ht="15.6" customHeight="1">
      <c r="B11" s="119">
        <v>9</v>
      </c>
      <c r="C11" s="93" t="s">
        <v>20</v>
      </c>
      <c r="D11" s="11" t="str">
        <f>GroupDraw!C9</f>
        <v>Richard Badger</v>
      </c>
      <c r="E11" s="12">
        <v>2</v>
      </c>
      <c r="F11" s="13" t="s">
        <v>61</v>
      </c>
      <c r="G11" s="14">
        <v>0</v>
      </c>
      <c r="H11" s="15" t="str">
        <f>GroupDraw!C12</f>
        <v>Tony Banks</v>
      </c>
      <c r="I11" s="74" t="str">
        <f>GroupDraw!D15</f>
        <v>Panos Stemitsiotis</v>
      </c>
    </row>
    <row r="12" spans="2:10" ht="15.6" customHeight="1">
      <c r="B12" s="119">
        <v>10</v>
      </c>
      <c r="C12" s="93" t="s">
        <v>20</v>
      </c>
      <c r="D12" s="11" t="str">
        <f>GroupDraw!C10</f>
        <v>Alex Salter</v>
      </c>
      <c r="E12" s="12">
        <v>1</v>
      </c>
      <c r="F12" s="13" t="s">
        <v>61</v>
      </c>
      <c r="G12" s="14">
        <v>3</v>
      </c>
      <c r="H12" s="15" t="str">
        <f>GroupDraw!C11</f>
        <v>Rob Piggott</v>
      </c>
      <c r="I12" s="74" t="str">
        <f>GroupDraw!D16</f>
        <v>Simon McMurray</v>
      </c>
    </row>
    <row r="13" spans="2:10" ht="15.6" customHeight="1">
      <c r="B13" s="116">
        <v>11</v>
      </c>
      <c r="C13" s="94" t="s">
        <v>21</v>
      </c>
      <c r="D13" s="18" t="str">
        <f>GroupDraw!D9</f>
        <v>Kye Arnold</v>
      </c>
      <c r="E13" s="19">
        <v>1</v>
      </c>
      <c r="F13" s="20" t="s">
        <v>61</v>
      </c>
      <c r="G13" s="21">
        <v>0</v>
      </c>
      <c r="H13" s="22" t="str">
        <f>GroupDraw!D12</f>
        <v>Ian Sharp</v>
      </c>
      <c r="I13" s="75" t="str">
        <f>GroupDraw!E11</f>
        <v>Connor Gregory</v>
      </c>
    </row>
    <row r="14" spans="2:10" ht="15.6" customHeight="1" thickBot="1">
      <c r="B14" s="117">
        <v>12</v>
      </c>
      <c r="C14" s="95" t="s">
        <v>21</v>
      </c>
      <c r="D14" s="25" t="str">
        <f>GroupDraw!D10</f>
        <v>Mark Weaver</v>
      </c>
      <c r="E14" s="26">
        <v>1</v>
      </c>
      <c r="F14" s="27" t="s">
        <v>61</v>
      </c>
      <c r="G14" s="28">
        <v>3</v>
      </c>
      <c r="H14" s="29" t="str">
        <f>GroupDraw!D11</f>
        <v>Bob Fairbrother</v>
      </c>
      <c r="I14" s="76" t="str">
        <f>GroupDraw!C17</f>
        <v>Simon Goodman</v>
      </c>
    </row>
    <row r="15" spans="2:10" ht="15" customHeight="1" thickBot="1"/>
    <row r="16" spans="2:10" ht="15.6" customHeight="1" thickBot="1">
      <c r="B16" s="113" t="s">
        <v>55</v>
      </c>
      <c r="C16" s="83" t="s">
        <v>56</v>
      </c>
      <c r="D16" s="113" t="s">
        <v>57</v>
      </c>
      <c r="E16" s="124" t="s">
        <v>62</v>
      </c>
      <c r="F16" s="125"/>
      <c r="G16" s="126"/>
      <c r="H16" s="115" t="s">
        <v>57</v>
      </c>
      <c r="I16" s="83" t="s">
        <v>59</v>
      </c>
      <c r="J16" s="1" t="s">
        <v>63</v>
      </c>
    </row>
    <row r="17" spans="2:10" ht="15.6" customHeight="1">
      <c r="B17" s="118">
        <v>1</v>
      </c>
      <c r="C17" s="92" t="s">
        <v>22</v>
      </c>
      <c r="D17" s="4" t="str">
        <f>GroupDraw!E9</f>
        <v>Marco Ghigliotti</v>
      </c>
      <c r="E17" s="5">
        <v>4</v>
      </c>
      <c r="F17" s="6" t="s">
        <v>61</v>
      </c>
      <c r="G17" s="7">
        <v>2</v>
      </c>
      <c r="H17" s="8" t="str">
        <f>GroupDraw!E12</f>
        <v>Simon Bodily</v>
      </c>
      <c r="I17" s="73" t="str">
        <f>GroupDraw!E5</f>
        <v>Rob Paterson</v>
      </c>
    </row>
    <row r="18" spans="2:10" ht="15.6" customHeight="1">
      <c r="B18" s="119">
        <v>2</v>
      </c>
      <c r="C18" s="93" t="s">
        <v>22</v>
      </c>
      <c r="D18" s="11" t="str">
        <f>GroupDraw!E10</f>
        <v>Jamie Warren</v>
      </c>
      <c r="E18" s="12">
        <v>1</v>
      </c>
      <c r="F18" s="13" t="s">
        <v>61</v>
      </c>
      <c r="G18" s="14">
        <v>1</v>
      </c>
      <c r="H18" s="15" t="str">
        <f>GroupDraw!E11</f>
        <v>Connor Gregory</v>
      </c>
      <c r="I18" s="74" t="str">
        <f>GroupDraw!E4</f>
        <v>Mick Hammonds</v>
      </c>
    </row>
    <row r="19" spans="2:10" ht="15.6" customHeight="1">
      <c r="B19" s="116">
        <v>3</v>
      </c>
      <c r="C19" s="94" t="s">
        <v>39</v>
      </c>
      <c r="D19" s="18" t="str">
        <f>GroupDraw!B14</f>
        <v>Victor Jones</v>
      </c>
      <c r="E19" s="19">
        <v>3</v>
      </c>
      <c r="F19" s="20" t="s">
        <v>61</v>
      </c>
      <c r="G19" s="21">
        <v>0</v>
      </c>
      <c r="H19" s="22" t="str">
        <f>GroupDraw!B17</f>
        <v>Dave Fletcher</v>
      </c>
      <c r="I19" s="75" t="str">
        <f>GroupDraw!B10</f>
        <v>Simon Hawley</v>
      </c>
    </row>
    <row r="20" spans="2:10" ht="15.6" customHeight="1">
      <c r="B20" s="116">
        <v>4</v>
      </c>
      <c r="C20" s="94" t="s">
        <v>39</v>
      </c>
      <c r="D20" s="18" t="str">
        <f>GroupDraw!B15</f>
        <v>Alan Lee</v>
      </c>
      <c r="E20" s="19">
        <v>0</v>
      </c>
      <c r="F20" s="20" t="s">
        <v>61</v>
      </c>
      <c r="G20" s="21">
        <v>0</v>
      </c>
      <c r="H20" s="22" t="str">
        <f>GroupDraw!B16</f>
        <v>Adam Douglas</v>
      </c>
      <c r="I20" s="75" t="str">
        <f>GroupDraw!C9</f>
        <v>Richard Badger</v>
      </c>
    </row>
    <row r="21" spans="2:10" ht="15.6" customHeight="1">
      <c r="B21" s="119">
        <v>5</v>
      </c>
      <c r="C21" s="93" t="s">
        <v>40</v>
      </c>
      <c r="D21" s="11" t="str">
        <f>GroupDraw!C14</f>
        <v>Paul Andreas</v>
      </c>
      <c r="E21" s="12">
        <v>0</v>
      </c>
      <c r="F21" s="13" t="s">
        <v>61</v>
      </c>
      <c r="G21" s="14">
        <v>1</v>
      </c>
      <c r="H21" s="15" t="str">
        <f>GroupDraw!C17</f>
        <v>Simon Goodman</v>
      </c>
      <c r="I21" s="74" t="str">
        <f>GroupDraw!B9</f>
        <v>Aaron Skinner</v>
      </c>
    </row>
    <row r="22" spans="2:10" ht="15.6" customHeight="1">
      <c r="B22" s="119">
        <v>6</v>
      </c>
      <c r="C22" s="93" t="s">
        <v>40</v>
      </c>
      <c r="D22" s="11" t="str">
        <f>GroupDraw!C15</f>
        <v>Rob Fitch</v>
      </c>
      <c r="E22" s="12">
        <v>0</v>
      </c>
      <c r="F22" s="13" t="s">
        <v>61</v>
      </c>
      <c r="G22" s="14">
        <v>5</v>
      </c>
      <c r="H22" s="15" t="str">
        <f>GroupDraw!C16</f>
        <v>Malcolm Jamieson</v>
      </c>
      <c r="I22" s="74" t="str">
        <f>GroupDraw!E6</f>
        <v>Gage Badger</v>
      </c>
    </row>
    <row r="23" spans="2:10" ht="15.6" customHeight="1">
      <c r="B23" s="116">
        <v>7</v>
      </c>
      <c r="C23" s="94" t="s">
        <v>41</v>
      </c>
      <c r="D23" s="18" t="str">
        <f>GroupDraw!D14</f>
        <v>Steve Wonnacott</v>
      </c>
      <c r="E23" s="19">
        <v>4</v>
      </c>
      <c r="F23" s="20" t="s">
        <v>61</v>
      </c>
      <c r="G23" s="21">
        <v>1</v>
      </c>
      <c r="H23" s="22" t="str">
        <f>GroupDraw!D17</f>
        <v>Joe Parody</v>
      </c>
      <c r="I23" s="75" t="str">
        <f>GroupDraw!D9</f>
        <v>Kye Arnold</v>
      </c>
    </row>
    <row r="24" spans="2:10" ht="15.6" customHeight="1">
      <c r="B24" s="116">
        <v>8</v>
      </c>
      <c r="C24" s="94" t="s">
        <v>41</v>
      </c>
      <c r="D24" s="18" t="str">
        <f>GroupDraw!D15</f>
        <v>Panos Stemitsiotis</v>
      </c>
      <c r="E24" s="19">
        <v>3</v>
      </c>
      <c r="F24" s="20" t="s">
        <v>61</v>
      </c>
      <c r="G24" s="21">
        <v>0</v>
      </c>
      <c r="H24" s="22" t="str">
        <f>GroupDraw!D16</f>
        <v>Simon McMurray</v>
      </c>
      <c r="I24" s="75" t="str">
        <f>GroupDraw!D12</f>
        <v>Ian Sharp</v>
      </c>
    </row>
    <row r="25" spans="2:10" ht="15.6" customHeight="1">
      <c r="B25" s="119">
        <v>9</v>
      </c>
      <c r="C25" s="93" t="s">
        <v>1</v>
      </c>
      <c r="D25" s="11" t="str">
        <f>GroupDraw!B5</f>
        <v>Stuart Briffett</v>
      </c>
      <c r="E25" s="12">
        <v>1</v>
      </c>
      <c r="F25" s="13" t="s">
        <v>61</v>
      </c>
      <c r="G25" s="14">
        <v>3</v>
      </c>
      <c r="H25" s="15" t="str">
        <f>GroupDraw!B6</f>
        <v>Darren Barnes</v>
      </c>
      <c r="I25" s="74" t="str">
        <f>GroupDraw!E7</f>
        <v>Andy McGovern</v>
      </c>
    </row>
    <row r="26" spans="2:10" ht="15.6" customHeight="1">
      <c r="B26" s="119">
        <v>10</v>
      </c>
      <c r="C26" s="93" t="s">
        <v>2</v>
      </c>
      <c r="D26" s="11" t="str">
        <f>GroupDraw!C5</f>
        <v>Jason Christopher</v>
      </c>
      <c r="E26" s="12">
        <v>4</v>
      </c>
      <c r="F26" s="13" t="s">
        <v>61</v>
      </c>
      <c r="G26" s="14">
        <v>1</v>
      </c>
      <c r="H26" s="15" t="str">
        <f>GroupDraw!C6</f>
        <v>Nigel Morgan</v>
      </c>
      <c r="I26" s="74" t="str">
        <f>GroupDraw!D10</f>
        <v>Mark Weaver</v>
      </c>
    </row>
    <row r="27" spans="2:10" ht="15.6" customHeight="1">
      <c r="B27" s="116">
        <v>11</v>
      </c>
      <c r="C27" s="94" t="s">
        <v>3</v>
      </c>
      <c r="D27" s="18" t="str">
        <f>GroupDraw!D4</f>
        <v>Rudi Peters</v>
      </c>
      <c r="E27" s="19">
        <v>4</v>
      </c>
      <c r="F27" s="20" t="s">
        <v>61</v>
      </c>
      <c r="G27" s="21">
        <v>2</v>
      </c>
      <c r="H27" s="22" t="str">
        <f>GroupDraw!D6</f>
        <v>Adam Wells</v>
      </c>
      <c r="I27" s="75" t="str">
        <f>GroupDraw!B11</f>
        <v>Richard Roper</v>
      </c>
    </row>
    <row r="28" spans="2:10" ht="15.6" customHeight="1" thickBot="1">
      <c r="B28" s="117">
        <v>12</v>
      </c>
      <c r="C28" s="95" t="s">
        <v>3</v>
      </c>
      <c r="D28" s="25" t="str">
        <f>GroupDraw!D5</f>
        <v>Terry Arnold</v>
      </c>
      <c r="E28" s="26">
        <v>5</v>
      </c>
      <c r="F28" s="27" t="s">
        <v>61</v>
      </c>
      <c r="G28" s="28">
        <v>0</v>
      </c>
      <c r="H28" s="29" t="str">
        <f>GroupDraw!D7</f>
        <v>BYE</v>
      </c>
      <c r="I28" s="76" t="str">
        <f>GroupDraw!D11</f>
        <v>Bob Fairbrother</v>
      </c>
    </row>
    <row r="29" spans="2:10" ht="15" customHeight="1" thickBot="1"/>
    <row r="30" spans="2:10" ht="15.6" customHeight="1" thickBot="1">
      <c r="B30" s="83" t="s">
        <v>55</v>
      </c>
      <c r="C30" s="83" t="s">
        <v>56</v>
      </c>
      <c r="D30" s="113" t="s">
        <v>57</v>
      </c>
      <c r="E30" s="124" t="s">
        <v>64</v>
      </c>
      <c r="F30" s="125"/>
      <c r="G30" s="126"/>
      <c r="H30" s="115" t="s">
        <v>57</v>
      </c>
      <c r="I30" s="83" t="s">
        <v>59</v>
      </c>
      <c r="J30" s="1" t="s">
        <v>63</v>
      </c>
    </row>
    <row r="31" spans="2:10" ht="15.6" customHeight="1">
      <c r="B31" s="3">
        <v>1</v>
      </c>
      <c r="C31" s="92" t="s">
        <v>4</v>
      </c>
      <c r="D31" s="4" t="str">
        <f>GroupDraw!E4</f>
        <v>Mick Hammonds</v>
      </c>
      <c r="E31" s="5">
        <v>2</v>
      </c>
      <c r="F31" s="6" t="s">
        <v>61</v>
      </c>
      <c r="G31" s="7">
        <v>1</v>
      </c>
      <c r="H31" s="8" t="str">
        <f>GroupDraw!E6</f>
        <v>Gage Badger</v>
      </c>
      <c r="I31" s="9" t="str">
        <f>GroupDraw!B6</f>
        <v>Darren Barnes</v>
      </c>
    </row>
    <row r="32" spans="2:10" ht="15.6" customHeight="1">
      <c r="B32" s="10">
        <v>2</v>
      </c>
      <c r="C32" s="93" t="s">
        <v>4</v>
      </c>
      <c r="D32" s="11" t="str">
        <f>GroupDraw!E5</f>
        <v>Rob Paterson</v>
      </c>
      <c r="E32" s="12">
        <v>0</v>
      </c>
      <c r="F32" s="13" t="s">
        <v>61</v>
      </c>
      <c r="G32" s="14">
        <v>0</v>
      </c>
      <c r="H32" s="15" t="str">
        <f>GroupDraw!E7</f>
        <v>Andy McGovern</v>
      </c>
      <c r="I32" s="16" t="str">
        <f>GroupDraw!D14</f>
        <v>Steve Wonnacott</v>
      </c>
    </row>
    <row r="33" spans="2:10" ht="15.6" customHeight="1">
      <c r="B33" s="17">
        <v>3</v>
      </c>
      <c r="C33" s="94" t="s">
        <v>19</v>
      </c>
      <c r="D33" s="18" t="str">
        <f>GroupDraw!B9</f>
        <v>Aaron Skinner</v>
      </c>
      <c r="E33" s="19">
        <v>5</v>
      </c>
      <c r="F33" s="20" t="s">
        <v>61</v>
      </c>
      <c r="G33" s="21">
        <v>1</v>
      </c>
      <c r="H33" s="22" t="str">
        <f>GroupDraw!B11</f>
        <v>Richard Roper</v>
      </c>
      <c r="I33" s="23" t="str">
        <f>GroupDraw!C14</f>
        <v>Paul Andreas</v>
      </c>
    </row>
    <row r="34" spans="2:10" ht="15.6" customHeight="1">
      <c r="B34" s="17">
        <v>4</v>
      </c>
      <c r="C34" s="94" t="s">
        <v>19</v>
      </c>
      <c r="D34" s="18" t="str">
        <f>GroupDraw!B10</f>
        <v>Simon Hawley</v>
      </c>
      <c r="E34" s="19">
        <v>1</v>
      </c>
      <c r="F34" s="20" t="s">
        <v>61</v>
      </c>
      <c r="G34" s="21">
        <v>4</v>
      </c>
      <c r="H34" s="22" t="str">
        <f>GroupDraw!B12</f>
        <v>Justin Scott</v>
      </c>
      <c r="I34" s="23" t="str">
        <f>GroupDraw!C16</f>
        <v>Malcolm Jamieson</v>
      </c>
    </row>
    <row r="35" spans="2:10" ht="15.6" customHeight="1">
      <c r="B35" s="10">
        <v>5</v>
      </c>
      <c r="C35" s="93" t="s">
        <v>20</v>
      </c>
      <c r="D35" s="11" t="str">
        <f>GroupDraw!C9</f>
        <v>Richard Badger</v>
      </c>
      <c r="E35" s="12">
        <v>5</v>
      </c>
      <c r="F35" s="13" t="s">
        <v>61</v>
      </c>
      <c r="G35" s="14">
        <v>1</v>
      </c>
      <c r="H35" s="15" t="str">
        <f>GroupDraw!C11</f>
        <v>Rob Piggott</v>
      </c>
      <c r="I35" s="16" t="str">
        <f>GroupDraw!B5</f>
        <v>Stuart Briffett</v>
      </c>
    </row>
    <row r="36" spans="2:10" ht="15.6" customHeight="1">
      <c r="B36" s="10">
        <v>6</v>
      </c>
      <c r="C36" s="93" t="s">
        <v>20</v>
      </c>
      <c r="D36" s="11" t="str">
        <f>GroupDraw!C10</f>
        <v>Alex Salter</v>
      </c>
      <c r="E36" s="12">
        <v>0</v>
      </c>
      <c r="F36" s="13" t="s">
        <v>61</v>
      </c>
      <c r="G36" s="14">
        <v>3</v>
      </c>
      <c r="H36" s="15" t="str">
        <f>GroupDraw!C12</f>
        <v>Tony Banks</v>
      </c>
      <c r="I36" s="16" t="str">
        <f>GroupDraw!C5</f>
        <v>Jason Christopher</v>
      </c>
    </row>
    <row r="37" spans="2:10" ht="15.6" customHeight="1">
      <c r="B37" s="17">
        <v>7</v>
      </c>
      <c r="C37" s="94" t="s">
        <v>21</v>
      </c>
      <c r="D37" s="18" t="str">
        <f>GroupDraw!D9</f>
        <v>Kye Arnold</v>
      </c>
      <c r="E37" s="19">
        <v>4</v>
      </c>
      <c r="F37" s="20" t="s">
        <v>61</v>
      </c>
      <c r="G37" s="21">
        <v>0</v>
      </c>
      <c r="H37" s="22" t="str">
        <f>GroupDraw!D11</f>
        <v>Bob Fairbrother</v>
      </c>
      <c r="I37" s="23" t="str">
        <f>GroupDraw!C15</f>
        <v>Rob Fitch</v>
      </c>
    </row>
    <row r="38" spans="2:10" ht="15.6" customHeight="1">
      <c r="B38" s="17">
        <v>8</v>
      </c>
      <c r="C38" s="94" t="s">
        <v>21</v>
      </c>
      <c r="D38" s="18" t="str">
        <f>GroupDraw!D10</f>
        <v>Mark Weaver</v>
      </c>
      <c r="E38" s="19">
        <v>0</v>
      </c>
      <c r="F38" s="20" t="s">
        <v>61</v>
      </c>
      <c r="G38" s="21">
        <v>1</v>
      </c>
      <c r="H38" s="22" t="str">
        <f>GroupDraw!D12</f>
        <v>Ian Sharp</v>
      </c>
      <c r="I38" s="23" t="str">
        <f>GroupDraw!D5</f>
        <v>Terry Arnold</v>
      </c>
    </row>
    <row r="39" spans="2:10" ht="15.6" customHeight="1">
      <c r="B39" s="10">
        <v>9</v>
      </c>
      <c r="C39" s="93" t="s">
        <v>22</v>
      </c>
      <c r="D39" s="11" t="str">
        <f>GroupDraw!E9</f>
        <v>Marco Ghigliotti</v>
      </c>
      <c r="E39" s="12">
        <v>3</v>
      </c>
      <c r="F39" s="13" t="s">
        <v>61</v>
      </c>
      <c r="G39" s="14">
        <v>0</v>
      </c>
      <c r="H39" s="15" t="str">
        <f>GroupDraw!E11</f>
        <v>Connor Gregory</v>
      </c>
      <c r="I39" s="16" t="str">
        <f>GroupDraw!C4</f>
        <v>Kevin Cordell</v>
      </c>
    </row>
    <row r="40" spans="2:10" ht="15.6" customHeight="1">
      <c r="B40" s="10">
        <v>10</v>
      </c>
      <c r="C40" s="93" t="s">
        <v>22</v>
      </c>
      <c r="D40" s="11" t="str">
        <f>GroupDraw!E10</f>
        <v>Jamie Warren</v>
      </c>
      <c r="E40" s="12">
        <v>4</v>
      </c>
      <c r="F40" s="13" t="s">
        <v>61</v>
      </c>
      <c r="G40" s="14">
        <v>3</v>
      </c>
      <c r="H40" s="15" t="str">
        <f>GroupDraw!E12</f>
        <v>Simon Bodily</v>
      </c>
      <c r="I40" s="16" t="str">
        <f>GroupDraw!C17</f>
        <v>Simon Goodman</v>
      </c>
    </row>
    <row r="41" spans="2:10" ht="15.6" customHeight="1">
      <c r="B41" s="17">
        <v>11</v>
      </c>
      <c r="C41" s="94" t="s">
        <v>39</v>
      </c>
      <c r="D41" s="18" t="str">
        <f>GroupDraw!B14</f>
        <v>Victor Jones</v>
      </c>
      <c r="E41" s="19">
        <v>1</v>
      </c>
      <c r="F41" s="20" t="s">
        <v>61</v>
      </c>
      <c r="G41" s="21">
        <v>0</v>
      </c>
      <c r="H41" s="22" t="str">
        <f>GroupDraw!B16</f>
        <v>Adam Douglas</v>
      </c>
      <c r="I41" s="23" t="str">
        <f>GroupDraw!D4</f>
        <v>Rudi Peters</v>
      </c>
    </row>
    <row r="42" spans="2:10" ht="15.6" customHeight="1" thickBot="1">
      <c r="B42" s="24">
        <v>12</v>
      </c>
      <c r="C42" s="95" t="s">
        <v>39</v>
      </c>
      <c r="D42" s="25" t="str">
        <f>GroupDraw!B15</f>
        <v>Alan Lee</v>
      </c>
      <c r="E42" s="26">
        <v>5</v>
      </c>
      <c r="F42" s="27" t="s">
        <v>61</v>
      </c>
      <c r="G42" s="28">
        <v>0</v>
      </c>
      <c r="H42" s="29" t="str">
        <f>GroupDraw!B17</f>
        <v>Dave Fletcher</v>
      </c>
      <c r="I42" s="30" t="str">
        <f>GroupDraw!C6</f>
        <v>Nigel Morgan</v>
      </c>
    </row>
    <row r="43" spans="2:10" ht="15" customHeight="1" thickBot="1"/>
    <row r="44" spans="2:10" ht="15.6" customHeight="1" thickBot="1">
      <c r="B44" s="113" t="s">
        <v>55</v>
      </c>
      <c r="C44" s="83" t="s">
        <v>56</v>
      </c>
      <c r="D44" s="113" t="s">
        <v>57</v>
      </c>
      <c r="E44" s="124" t="s">
        <v>65</v>
      </c>
      <c r="F44" s="125"/>
      <c r="G44" s="126"/>
      <c r="H44" s="115" t="s">
        <v>57</v>
      </c>
      <c r="I44" s="115" t="s">
        <v>59</v>
      </c>
      <c r="J44" s="1" t="s">
        <v>60</v>
      </c>
    </row>
    <row r="45" spans="2:10" ht="15.6" customHeight="1">
      <c r="B45" s="118">
        <v>1</v>
      </c>
      <c r="C45" s="92" t="s">
        <v>40</v>
      </c>
      <c r="D45" s="4" t="str">
        <f>GroupDraw!C14</f>
        <v>Paul Andreas</v>
      </c>
      <c r="E45" s="5">
        <v>6</v>
      </c>
      <c r="F45" s="6" t="s">
        <v>61</v>
      </c>
      <c r="G45" s="7">
        <v>2</v>
      </c>
      <c r="H45" s="8" t="str">
        <f>GroupDraw!C16</f>
        <v>Malcolm Jamieson</v>
      </c>
      <c r="I45" s="9" t="str">
        <f>GroupDraw!C9</f>
        <v>Richard Badger</v>
      </c>
    </row>
    <row r="46" spans="2:10" ht="15.6" customHeight="1">
      <c r="B46" s="119">
        <v>2</v>
      </c>
      <c r="C46" s="93" t="s">
        <v>40</v>
      </c>
      <c r="D46" s="11" t="str">
        <f>GroupDraw!C15</f>
        <v>Rob Fitch</v>
      </c>
      <c r="E46" s="12">
        <v>0</v>
      </c>
      <c r="F46" s="13" t="s">
        <v>61</v>
      </c>
      <c r="G46" s="14">
        <v>3</v>
      </c>
      <c r="H46" s="15" t="str">
        <f>GroupDraw!C17</f>
        <v>Simon Goodman</v>
      </c>
      <c r="I46" s="16" t="str">
        <f>GroupDraw!E9</f>
        <v>Marco Ghigliotti</v>
      </c>
    </row>
    <row r="47" spans="2:10" ht="15.6" customHeight="1">
      <c r="B47" s="116">
        <v>3</v>
      </c>
      <c r="C47" s="94" t="s">
        <v>41</v>
      </c>
      <c r="D47" s="18" t="str">
        <f>GroupDraw!D14</f>
        <v>Steve Wonnacott</v>
      </c>
      <c r="E47" s="19">
        <v>2</v>
      </c>
      <c r="F47" s="20" t="s">
        <v>61</v>
      </c>
      <c r="G47" s="21">
        <v>1</v>
      </c>
      <c r="H47" s="22" t="str">
        <f>GroupDraw!D16</f>
        <v>Simon McMurray</v>
      </c>
      <c r="I47" s="23" t="str">
        <f>GroupDraw!D10</f>
        <v>Mark Weaver</v>
      </c>
    </row>
    <row r="48" spans="2:10" ht="15.6" customHeight="1">
      <c r="B48" s="116">
        <v>4</v>
      </c>
      <c r="C48" s="94" t="s">
        <v>41</v>
      </c>
      <c r="D48" s="18" t="str">
        <f>GroupDraw!D15</f>
        <v>Panos Stemitsiotis</v>
      </c>
      <c r="E48" s="19">
        <v>2</v>
      </c>
      <c r="F48" s="20" t="s">
        <v>61</v>
      </c>
      <c r="G48" s="21">
        <v>0</v>
      </c>
      <c r="H48" s="22" t="str">
        <f>GroupDraw!D17</f>
        <v>Joe Parody</v>
      </c>
      <c r="I48" s="23" t="str">
        <f>GroupDraw!C10</f>
        <v>Alex Salter</v>
      </c>
    </row>
    <row r="49" spans="2:10" ht="15.6" customHeight="1">
      <c r="B49" s="119">
        <v>5</v>
      </c>
      <c r="C49" s="93" t="s">
        <v>1</v>
      </c>
      <c r="D49" s="11" t="str">
        <f>GroupDraw!B4</f>
        <v>Chris Short</v>
      </c>
      <c r="E49" s="12">
        <v>5</v>
      </c>
      <c r="F49" s="13" t="s">
        <v>61</v>
      </c>
      <c r="G49" s="14">
        <v>0</v>
      </c>
      <c r="H49" s="15" t="str">
        <f>GroupDraw!B5</f>
        <v>Stuart Briffett</v>
      </c>
      <c r="I49" s="16" t="str">
        <f>GroupDraw!C11</f>
        <v>Rob Piggott</v>
      </c>
    </row>
    <row r="50" spans="2:10" ht="15.6" customHeight="1">
      <c r="B50" s="119">
        <v>6</v>
      </c>
      <c r="C50" s="93" t="s">
        <v>2</v>
      </c>
      <c r="D50" s="11" t="str">
        <f>GroupDraw!C4</f>
        <v>Kevin Cordell</v>
      </c>
      <c r="E50" s="12">
        <v>5</v>
      </c>
      <c r="F50" s="13" t="s">
        <v>61</v>
      </c>
      <c r="G50" s="14">
        <v>0</v>
      </c>
      <c r="H50" s="15" t="str">
        <f>GroupDraw!C5</f>
        <v>Jason Christopher</v>
      </c>
      <c r="I50" s="16" t="str">
        <f>GroupDraw!E12</f>
        <v>Simon Bodily</v>
      </c>
    </row>
    <row r="51" spans="2:10" ht="15.6" customHeight="1">
      <c r="B51" s="116">
        <v>7</v>
      </c>
      <c r="C51" s="94" t="s">
        <v>3</v>
      </c>
      <c r="D51" s="18" t="str">
        <f>GroupDraw!D4</f>
        <v>Rudi Peters</v>
      </c>
      <c r="E51" s="19">
        <v>4</v>
      </c>
      <c r="F51" s="20" t="s">
        <v>61</v>
      </c>
      <c r="G51" s="21">
        <v>0</v>
      </c>
      <c r="H51" s="22" t="str">
        <f>GroupDraw!D5</f>
        <v>Terry Arnold</v>
      </c>
      <c r="I51" s="23" t="str">
        <f>GroupDraw!D12</f>
        <v>Ian Sharp</v>
      </c>
    </row>
    <row r="52" spans="2:10" ht="15.6" customHeight="1">
      <c r="B52" s="116">
        <v>8</v>
      </c>
      <c r="C52" s="94" t="s">
        <v>3</v>
      </c>
      <c r="D52" s="18" t="str">
        <f>GroupDraw!D6</f>
        <v>Adam Wells</v>
      </c>
      <c r="E52" s="19">
        <v>5</v>
      </c>
      <c r="F52" s="20" t="s">
        <v>61</v>
      </c>
      <c r="G52" s="21">
        <v>0</v>
      </c>
      <c r="H52" s="22" t="str">
        <f>GroupDraw!D7</f>
        <v>BYE</v>
      </c>
      <c r="I52" s="23" t="str">
        <f>GroupDraw!D9</f>
        <v>Kye Arnold</v>
      </c>
    </row>
    <row r="53" spans="2:10" ht="15.6" customHeight="1">
      <c r="B53" s="119">
        <v>9</v>
      </c>
      <c r="C53" s="93" t="s">
        <v>4</v>
      </c>
      <c r="D53" s="11" t="str">
        <f>GroupDraw!E4</f>
        <v>Mick Hammonds</v>
      </c>
      <c r="E53" s="12">
        <v>2</v>
      </c>
      <c r="F53" s="13" t="s">
        <v>61</v>
      </c>
      <c r="G53" s="14">
        <v>1</v>
      </c>
      <c r="H53" s="15" t="str">
        <f>GroupDraw!E5</f>
        <v>Rob Paterson</v>
      </c>
      <c r="I53" s="16" t="str">
        <f>GroupDraw!E10</f>
        <v>Jamie Warren</v>
      </c>
    </row>
    <row r="54" spans="2:10" ht="15.6" customHeight="1">
      <c r="B54" s="119">
        <v>10</v>
      </c>
      <c r="C54" s="93" t="s">
        <v>4</v>
      </c>
      <c r="D54" s="11" t="str">
        <f>GroupDraw!E6</f>
        <v>Gage Badger</v>
      </c>
      <c r="E54" s="12">
        <v>5</v>
      </c>
      <c r="F54" s="13" t="s">
        <v>61</v>
      </c>
      <c r="G54" s="14">
        <v>0</v>
      </c>
      <c r="H54" s="15" t="str">
        <f>GroupDraw!E7</f>
        <v>Andy McGovern</v>
      </c>
      <c r="I54" s="16" t="str">
        <f>GroupDraw!E11</f>
        <v>Connor Gregory</v>
      </c>
    </row>
    <row r="55" spans="2:10" ht="15.6" customHeight="1">
      <c r="B55" s="116">
        <v>11</v>
      </c>
      <c r="C55" s="94" t="s">
        <v>19</v>
      </c>
      <c r="D55" s="18" t="str">
        <f>GroupDraw!B9</f>
        <v>Aaron Skinner</v>
      </c>
      <c r="E55" s="19">
        <v>5</v>
      </c>
      <c r="F55" s="20" t="s">
        <v>61</v>
      </c>
      <c r="G55" s="21">
        <v>0</v>
      </c>
      <c r="H55" s="22" t="str">
        <f>GroupDraw!B10</f>
        <v>Simon Hawley</v>
      </c>
      <c r="I55" s="23" t="str">
        <f>GroupDraw!D11</f>
        <v>Bob Fairbrother</v>
      </c>
    </row>
    <row r="56" spans="2:10" ht="15.6" customHeight="1" thickBot="1">
      <c r="B56" s="117">
        <v>12</v>
      </c>
      <c r="C56" s="95" t="s">
        <v>19</v>
      </c>
      <c r="D56" s="25" t="str">
        <f>GroupDraw!B11</f>
        <v>Richard Roper</v>
      </c>
      <c r="E56" s="26">
        <v>0</v>
      </c>
      <c r="F56" s="27" t="s">
        <v>61</v>
      </c>
      <c r="G56" s="28">
        <v>4</v>
      </c>
      <c r="H56" s="29" t="str">
        <f>GroupDraw!B12</f>
        <v>Justin Scott</v>
      </c>
      <c r="I56" s="30" t="str">
        <f>GroupDraw!C12</f>
        <v>Tony Banks</v>
      </c>
    </row>
    <row r="57" spans="2:10" ht="15" customHeight="1" thickBot="1"/>
    <row r="58" spans="2:10" ht="15.6" customHeight="1" thickBot="1">
      <c r="B58" s="113" t="s">
        <v>55</v>
      </c>
      <c r="C58" s="83" t="s">
        <v>56</v>
      </c>
      <c r="D58" s="113" t="s">
        <v>57</v>
      </c>
      <c r="E58" s="124" t="s">
        <v>66</v>
      </c>
      <c r="F58" s="125"/>
      <c r="G58" s="126"/>
      <c r="H58" s="115" t="s">
        <v>57</v>
      </c>
      <c r="I58" s="115" t="s">
        <v>59</v>
      </c>
      <c r="J58" s="1" t="s">
        <v>63</v>
      </c>
    </row>
    <row r="59" spans="2:10" ht="15.6" customHeight="1">
      <c r="B59" s="118">
        <v>1</v>
      </c>
      <c r="C59" s="92" t="s">
        <v>20</v>
      </c>
      <c r="D59" s="4" t="str">
        <f>GroupDraw!C9</f>
        <v>Richard Badger</v>
      </c>
      <c r="E59" s="5">
        <v>5</v>
      </c>
      <c r="F59" s="6" t="s">
        <v>61</v>
      </c>
      <c r="G59" s="7">
        <v>0</v>
      </c>
      <c r="H59" s="8" t="str">
        <f>GroupDraw!C10</f>
        <v>Alex Salter</v>
      </c>
      <c r="I59" s="9" t="str">
        <f>GroupDraw!C6</f>
        <v>Nigel Morgan</v>
      </c>
    </row>
    <row r="60" spans="2:10" ht="15.6" customHeight="1">
      <c r="B60" s="119">
        <v>2</v>
      </c>
      <c r="C60" s="93" t="s">
        <v>20</v>
      </c>
      <c r="D60" s="11" t="str">
        <f>GroupDraw!C11</f>
        <v>Rob Piggott</v>
      </c>
      <c r="E60" s="12">
        <v>0</v>
      </c>
      <c r="F60" s="13" t="s">
        <v>61</v>
      </c>
      <c r="G60" s="14">
        <v>0</v>
      </c>
      <c r="H60" s="15" t="str">
        <f>GroupDraw!C12</f>
        <v>Tony Banks</v>
      </c>
      <c r="I60" s="16" t="str">
        <f>GroupDraw!E5</f>
        <v>Rob Paterson</v>
      </c>
    </row>
    <row r="61" spans="2:10" ht="15.6" customHeight="1">
      <c r="B61" s="116">
        <v>3</v>
      </c>
      <c r="C61" s="94" t="s">
        <v>21</v>
      </c>
      <c r="D61" s="18" t="str">
        <f>GroupDraw!D9</f>
        <v>Kye Arnold</v>
      </c>
      <c r="E61" s="19">
        <v>3</v>
      </c>
      <c r="F61" s="20" t="s">
        <v>61</v>
      </c>
      <c r="G61" s="21">
        <v>1</v>
      </c>
      <c r="H61" s="22" t="str">
        <f>GroupDraw!D10</f>
        <v>Mark Weaver</v>
      </c>
      <c r="I61" s="23" t="str">
        <f>GroupDraw!D6</f>
        <v>Adam Wells</v>
      </c>
    </row>
    <row r="62" spans="2:10" ht="15.6" customHeight="1">
      <c r="B62" s="116">
        <v>4</v>
      </c>
      <c r="C62" s="94" t="s">
        <v>21</v>
      </c>
      <c r="D62" s="18" t="str">
        <f>GroupDraw!D11</f>
        <v>Bob Fairbrother</v>
      </c>
      <c r="E62" s="19">
        <v>1</v>
      </c>
      <c r="F62" s="20" t="s">
        <v>61</v>
      </c>
      <c r="G62" s="21">
        <v>1</v>
      </c>
      <c r="H62" s="22" t="str">
        <f>GroupDraw!D12</f>
        <v>Ian Sharp</v>
      </c>
      <c r="I62" s="23" t="str">
        <f>GroupDraw!C4</f>
        <v>Kevin Cordell</v>
      </c>
    </row>
    <row r="63" spans="2:10" ht="15.6" customHeight="1">
      <c r="B63" s="119">
        <v>5</v>
      </c>
      <c r="C63" s="93" t="s">
        <v>22</v>
      </c>
      <c r="D63" s="11" t="str">
        <f>GroupDraw!E9</f>
        <v>Marco Ghigliotti</v>
      </c>
      <c r="E63" s="12">
        <v>4</v>
      </c>
      <c r="F63" s="13" t="s">
        <v>61</v>
      </c>
      <c r="G63" s="14">
        <v>2</v>
      </c>
      <c r="H63" s="15" t="str">
        <f>GroupDraw!E10</f>
        <v>Jamie Warren</v>
      </c>
      <c r="I63" s="16" t="str">
        <f>GroupDraw!B9</f>
        <v>Aaron Skinner</v>
      </c>
    </row>
    <row r="64" spans="2:10" ht="15.6" customHeight="1">
      <c r="B64" s="119">
        <v>6</v>
      </c>
      <c r="C64" s="93" t="s">
        <v>22</v>
      </c>
      <c r="D64" s="11" t="str">
        <f>GroupDraw!E11</f>
        <v>Connor Gregory</v>
      </c>
      <c r="E64" s="12">
        <v>2</v>
      </c>
      <c r="F64" s="13" t="s">
        <v>61</v>
      </c>
      <c r="G64" s="14">
        <v>1</v>
      </c>
      <c r="H64" s="15" t="str">
        <f>GroupDraw!E12</f>
        <v>Simon Bodily</v>
      </c>
      <c r="I64" s="16" t="str">
        <f>GroupDraw!D4</f>
        <v>Rudi Peters</v>
      </c>
    </row>
    <row r="65" spans="2:10" ht="15.6" customHeight="1">
      <c r="B65" s="116">
        <v>7</v>
      </c>
      <c r="C65" s="94" t="s">
        <v>39</v>
      </c>
      <c r="D65" s="18" t="str">
        <f>GroupDraw!B14</f>
        <v>Victor Jones</v>
      </c>
      <c r="E65" s="19">
        <v>2</v>
      </c>
      <c r="F65" s="20" t="s">
        <v>61</v>
      </c>
      <c r="G65" s="21">
        <v>1</v>
      </c>
      <c r="H65" s="22" t="str">
        <f>GroupDraw!B15</f>
        <v>Alan Lee</v>
      </c>
      <c r="I65" s="23" t="str">
        <f>GroupDraw!B12</f>
        <v>Justin Scott</v>
      </c>
    </row>
    <row r="66" spans="2:10" ht="15.6" customHeight="1">
      <c r="B66" s="116">
        <v>8</v>
      </c>
      <c r="C66" s="94" t="s">
        <v>39</v>
      </c>
      <c r="D66" s="18" t="str">
        <f>GroupDraw!B16</f>
        <v>Adam Douglas</v>
      </c>
      <c r="E66" s="19">
        <v>1</v>
      </c>
      <c r="F66" s="20" t="s">
        <v>61</v>
      </c>
      <c r="G66" s="21">
        <v>0</v>
      </c>
      <c r="H66" s="22" t="str">
        <f>GroupDraw!B17</f>
        <v>Dave Fletcher</v>
      </c>
      <c r="I66" s="23" t="str">
        <f>GroupDraw!B5</f>
        <v>Stuart Briffett</v>
      </c>
    </row>
    <row r="67" spans="2:10" ht="15.6" customHeight="1">
      <c r="B67" s="119">
        <v>9</v>
      </c>
      <c r="C67" s="93" t="s">
        <v>40</v>
      </c>
      <c r="D67" s="11" t="str">
        <f>GroupDraw!C14</f>
        <v>Paul Andreas</v>
      </c>
      <c r="E67" s="12">
        <v>5</v>
      </c>
      <c r="F67" s="13" t="s">
        <v>61</v>
      </c>
      <c r="G67" s="14">
        <v>1</v>
      </c>
      <c r="H67" s="15" t="str">
        <f>GroupDraw!C15</f>
        <v>Rob Fitch</v>
      </c>
      <c r="I67" s="16" t="str">
        <f>GroupDraw!C5</f>
        <v>Jason Christopher</v>
      </c>
    </row>
    <row r="68" spans="2:10" ht="15.6" customHeight="1">
      <c r="B68" s="119">
        <v>10</v>
      </c>
      <c r="C68" s="93" t="s">
        <v>40</v>
      </c>
      <c r="D68" s="11" t="str">
        <f>GroupDraw!C16</f>
        <v>Malcolm Jamieson</v>
      </c>
      <c r="E68" s="12">
        <v>4</v>
      </c>
      <c r="F68" s="13" t="s">
        <v>61</v>
      </c>
      <c r="G68" s="14">
        <v>3</v>
      </c>
      <c r="H68" s="15" t="str">
        <f>GroupDraw!C17</f>
        <v>Simon Goodman</v>
      </c>
      <c r="I68" s="16" t="str">
        <f>GroupDraw!E4</f>
        <v>Mick Hammonds</v>
      </c>
    </row>
    <row r="69" spans="2:10" ht="15.6" customHeight="1">
      <c r="B69" s="116">
        <v>11</v>
      </c>
      <c r="C69" s="94" t="s">
        <v>41</v>
      </c>
      <c r="D69" s="18" t="str">
        <f>GroupDraw!D14</f>
        <v>Steve Wonnacott</v>
      </c>
      <c r="E69" s="19">
        <v>0</v>
      </c>
      <c r="F69" s="20" t="s">
        <v>61</v>
      </c>
      <c r="G69" s="21">
        <v>2</v>
      </c>
      <c r="H69" s="22" t="str">
        <f>GroupDraw!D15</f>
        <v>Panos Stemitsiotis</v>
      </c>
      <c r="I69" s="23" t="str">
        <f>GroupDraw!D5</f>
        <v>Terry Arnold</v>
      </c>
    </row>
    <row r="70" spans="2:10" ht="15.6" customHeight="1" thickBot="1">
      <c r="B70" s="117">
        <v>12</v>
      </c>
      <c r="C70" s="95" t="s">
        <v>41</v>
      </c>
      <c r="D70" s="25" t="str">
        <f>GroupDraw!D16</f>
        <v>Simon McMurray</v>
      </c>
      <c r="E70" s="26">
        <v>1</v>
      </c>
      <c r="F70" s="27" t="s">
        <v>61</v>
      </c>
      <c r="G70" s="28">
        <v>0</v>
      </c>
      <c r="H70" s="29" t="str">
        <f>GroupDraw!D17</f>
        <v>Joe Parody</v>
      </c>
      <c r="I70" s="30" t="str">
        <f>GroupDraw!B6</f>
        <v>Darren Barnes</v>
      </c>
    </row>
    <row r="71" spans="2:10" ht="15" customHeight="1" thickBot="1"/>
    <row r="72" spans="2:10" ht="15.6" customHeight="1" thickBot="1">
      <c r="B72" s="113" t="s">
        <v>55</v>
      </c>
      <c r="C72" s="83" t="s">
        <v>67</v>
      </c>
      <c r="D72" s="113" t="s">
        <v>57</v>
      </c>
      <c r="E72" s="124" t="s">
        <v>68</v>
      </c>
      <c r="F72" s="125"/>
      <c r="G72" s="126"/>
      <c r="H72" s="115" t="s">
        <v>57</v>
      </c>
      <c r="I72" s="83" t="s">
        <v>59</v>
      </c>
      <c r="J72" s="1" t="s">
        <v>60</v>
      </c>
    </row>
    <row r="73" spans="2:10" ht="15.6" customHeight="1">
      <c r="B73" s="118">
        <v>1</v>
      </c>
      <c r="C73" s="92" t="s">
        <v>69</v>
      </c>
      <c r="D73" s="4" t="str">
        <f>IF('Post-Group Draw'!E3=11,'Post-Group Draw'!C3,IF('Post-Group Draw'!E4=11,'Post-Group Draw'!C4,IF('Post-Group Draw'!E5=11,'Post-Group Draw'!C5,IF('Post-Group Draw'!E6=11,'Post-Group Draw'!C6,IF('Post-Group Draw'!E7=11,'Post-Group Draw'!C7,IF('Post-Group Draw'!E8=11,'Post-Group Draw'!C8,IF('Post-Group Draw'!E9=11,'Post-Group Draw'!C9,IF('Post-Group Draw'!E10=11,'Post-Group Draw'!C10,IF('Post-Group Draw'!E11=11,'Post-Group Draw'!C11,IF('Post-Group Draw'!E12=11,'Post-Group Draw'!C12,IF('Post-Group Draw'!E13=11,'Post-Group Draw'!C13,"UNDETERMINED")))))))))))</f>
        <v>Paul Andreas</v>
      </c>
      <c r="E73" s="5">
        <v>3</v>
      </c>
      <c r="F73" s="6" t="s">
        <v>61</v>
      </c>
      <c r="G73" s="7">
        <v>1</v>
      </c>
      <c r="H73" s="8" t="str">
        <f>IF('Post-Group Draw'!E3=4,'Post-Group Draw'!D3,IF('Post-Group Draw'!E4=4,'Post-Group Draw'!D4,IF('Post-Group Draw'!E5=4,'Post-Group Draw'!D5,IF('Post-Group Draw'!E6=4,'Post-Group Draw'!D6,IF('Post-Group Draw'!E7=4,'Post-Group Draw'!D7,IF('Post-Group Draw'!E8=4,'Post-Group Draw'!D8,IF('Post-Group Draw'!E9=4,'Post-Group Draw'!D9,IF('Post-Group Draw'!E10=4,'Post-Group Draw'!D10,IF('Post-Group Draw'!E11=4,'Post-Group Draw'!D11,IF('Post-Group Draw'!E12=4,'Post-Group Draw'!D12,IF('Post-Group Draw'!E13=4,'Post-Group Draw'!D13,"UNDETERMINED")))))))))))</f>
        <v>Jamie Warren</v>
      </c>
      <c r="I73" s="73" t="s">
        <v>70</v>
      </c>
    </row>
    <row r="74" spans="2:10" ht="15.6" customHeight="1">
      <c r="B74" s="119">
        <v>2</v>
      </c>
      <c r="C74" s="93" t="s">
        <v>69</v>
      </c>
      <c r="D74" s="11" t="str">
        <f>IF('Post-Group Draw'!E3=2,'Post-Group Draw'!D3,IF('Post-Group Draw'!E4=2,'Post-Group Draw'!D4,IF('Post-Group Draw'!E5=2,'Post-Group Draw'!D5,IF('Post-Group Draw'!E6=2,'Post-Group Draw'!D6,IF('Post-Group Draw'!E7=2,'Post-Group Draw'!D7,IF('Post-Group Draw'!E8=2,'Post-Group Draw'!D8,IF('Post-Group Draw'!E9=2,'Post-Group Draw'!D9,IF('Post-Group Draw'!E10=2,'Post-Group Draw'!D10,IF('Post-Group Draw'!E11=2,'Post-Group Draw'!D11,IF('Post-Group Draw'!E12=2,'Post-Group Draw'!D12,IF('Post-Group Draw'!E13=2,'Post-Group Draw'!D13,"UNDETERMINED")))))))))))</f>
        <v>Adam Wells</v>
      </c>
      <c r="E74" s="12">
        <v>0</v>
      </c>
      <c r="F74" s="13" t="s">
        <v>61</v>
      </c>
      <c r="G74" s="14">
        <v>1</v>
      </c>
      <c r="H74" s="15" t="str">
        <f>IF('Post-Group Draw'!E3=6,'Post-Group Draw'!D3,IF('Post-Group Draw'!E4=6,'Post-Group Draw'!D4,IF('Post-Group Draw'!E5=6,'Post-Group Draw'!D5,IF('Post-Group Draw'!E6=6,'Post-Group Draw'!D6,IF('Post-Group Draw'!E7=6,'Post-Group Draw'!D7,IF('Post-Group Draw'!E8=6,'Post-Group Draw'!D8,IF('Post-Group Draw'!E9=6,'Post-Group Draw'!D9,IF('Post-Group Draw'!E10=6,'Post-Group Draw'!D10,IF('Post-Group Draw'!E11=6,'Post-Group Draw'!D11,IF('Post-Group Draw'!E12=6,'Post-Group Draw'!D12,IF('Post-Group Draw'!E13=6,'Post-Group Draw'!D13,"UNDETERMINED")))))))))))</f>
        <v>Ian Sharp</v>
      </c>
      <c r="I74" s="74" t="str">
        <f>D84</f>
        <v>Aaron Skinner</v>
      </c>
    </row>
    <row r="75" spans="2:10" ht="15.6" customHeight="1">
      <c r="B75" s="116">
        <v>3</v>
      </c>
      <c r="C75" s="94" t="s">
        <v>69</v>
      </c>
      <c r="D75" s="18" t="str">
        <f>IF('Post-Group Draw'!E3=1,'Post-Group Draw'!D3,IF('Post-Group Draw'!E4=1,'Post-Group Draw'!D4,IF('Post-Group Draw'!E5=1,'Post-Group Draw'!D5,IF('Post-Group Draw'!E6=1,'Post-Group Draw'!D6,IF('Post-Group Draw'!E7=1,'Post-Group Draw'!D7,IF('Post-Group Draw'!E8=1,'Post-Group Draw'!D8,IF('Post-Group Draw'!E9=1,'Post-Group Draw'!D9,IF('Post-Group Draw'!E10=1,'Post-Group Draw'!D10,IF('Post-Group Draw'!E11=1,'Post-Group Draw'!D11,IF('Post-Group Draw'!E12=1,'Post-Group Draw'!D12,IF('Post-Group Draw'!E13=1,'Post-Group Draw'!D13,"UNDETERMINED")))))))))))</f>
        <v>Justin Scott</v>
      </c>
      <c r="E75" s="19">
        <v>3</v>
      </c>
      <c r="F75" s="20" t="s">
        <v>61</v>
      </c>
      <c r="G75" s="21">
        <v>0</v>
      </c>
      <c r="H75" s="22" t="str">
        <f>IF('Post-Group Draw'!E3=8,'Post-Group Draw'!D3,IF('Post-Group Draw'!E4=8,'Post-Group Draw'!D4,IF('Post-Group Draw'!E5=8,'Post-Group Draw'!D5,IF('Post-Group Draw'!E6=8,'Post-Group Draw'!D6,IF('Post-Group Draw'!E7=8,'Post-Group Draw'!D7,IF('Post-Group Draw'!E8=8,'Post-Group Draw'!D8,IF('Post-Group Draw'!E9=8,'Post-Group Draw'!D9,IF('Post-Group Draw'!E10=8,'Post-Group Draw'!D10,IF('Post-Group Draw'!E11=8,'Post-Group Draw'!D11,IF('Post-Group Draw'!E12=8,'Post-Group Draw'!D12,IF('Post-Group Draw'!E13=8,'Post-Group Draw'!D13,"UNDETERMINED")))))))))))</f>
        <v>Steve Wonnacott</v>
      </c>
      <c r="I75" s="75" t="str">
        <f>H96</f>
        <v>Kevin Cordell</v>
      </c>
    </row>
    <row r="76" spans="2:10" ht="15.6" customHeight="1">
      <c r="B76" s="116">
        <v>4</v>
      </c>
      <c r="C76" s="94" t="s">
        <v>69</v>
      </c>
      <c r="D76" s="18" t="str">
        <f>IF('Post-Group Draw'!E3=3,'Post-Group Draw'!D3,IF('Post-Group Draw'!E4=3,'Post-Group Draw'!D4,IF('Post-Group Draw'!E5=3,'Post-Group Draw'!D5,IF('Post-Group Draw'!E6=3,'Post-Group Draw'!D6,IF('Post-Group Draw'!E7=3,'Post-Group Draw'!D7,IF('Post-Group Draw'!E8=3,'Post-Group Draw'!D8,IF('Post-Group Draw'!E9=3,'Post-Group Draw'!D9,IF('Post-Group Draw'!E10=3,'Post-Group Draw'!D10,IF('Post-Group Draw'!E11=3,'Post-Group Draw'!D11,IF('Post-Group Draw'!E12=3,'Post-Group Draw'!D12,IF('Post-Group Draw'!E13=3,'Post-Group Draw'!D13,"UNDETERMINED")))))))))))</f>
        <v>Alan Lee</v>
      </c>
      <c r="E76" s="19">
        <v>6</v>
      </c>
      <c r="F76" s="20" t="s">
        <v>61</v>
      </c>
      <c r="G76" s="21">
        <v>0</v>
      </c>
      <c r="H76" s="22" t="str">
        <f>IF('Post-Group Draw'!E3=11,'Post-Group Draw'!D3,IF('Post-Group Draw'!E4=11,'Post-Group Draw'!D4,IF('Post-Group Draw'!E5=11,'Post-Group Draw'!D5,IF('Post-Group Draw'!E6=11,'Post-Group Draw'!D6,IF('Post-Group Draw'!E7=11,'Post-Group Draw'!D7,IF('Post-Group Draw'!E8=11,'Post-Group Draw'!D8,IF('Post-Group Draw'!E9=11,'Post-Group Draw'!D9,IF('Post-Group Draw'!E10=11,'Post-Group Draw'!D10,IF('Post-Group Draw'!E11=11,'Post-Group Draw'!D11,IF('Post-Group Draw'!E12=11,'Post-Group Draw'!D12,IF('Post-Group Draw'!E13=11,'Post-Group Draw'!D13,"UNDETERMINED")))))))))))</f>
        <v>Simon Goodman</v>
      </c>
      <c r="I76" s="75" t="str">
        <f>H95</f>
        <v>Kye Arnold</v>
      </c>
    </row>
    <row r="77" spans="2:10" ht="15.6" customHeight="1">
      <c r="B77" s="119">
        <v>5</v>
      </c>
      <c r="C77" s="93" t="s">
        <v>69</v>
      </c>
      <c r="D77" s="11" t="str">
        <f>IF('Post-Group Draw'!E3=7,'Post-Group Draw'!D3,IF('Post-Group Draw'!E4=7,'Post-Group Draw'!D4,IF('Post-Group Draw'!E5=7,'Post-Group Draw'!D5,IF('Post-Group Draw'!E6=7,'Post-Group Draw'!D6,IF('Post-Group Draw'!E7=7,'Post-Group Draw'!D7,IF('Post-Group Draw'!E8=7,'Post-Group Draw'!D8,IF('Post-Group Draw'!E9=7,'Post-Group Draw'!D9,IF('Post-Group Draw'!E10=7,'Post-Group Draw'!D10,IF('Post-Group Draw'!E11=7,'Post-Group Draw'!D11,IF('Post-Group Draw'!E12=7,'Post-Group Draw'!D12,IF('Post-Group Draw'!E13=7,'Post-Group Draw'!D13,"UNDETERMINED")))))))))))</f>
        <v>Tony Banks</v>
      </c>
      <c r="E77" s="12">
        <v>2</v>
      </c>
      <c r="F77" s="13" t="s">
        <v>61</v>
      </c>
      <c r="G77" s="14">
        <v>4</v>
      </c>
      <c r="H77" s="15" t="str">
        <f>IF('Post-Group Draw'!E3=10,'Post-Group Draw'!D3,IF('Post-Group Draw'!E4=10,'Post-Group Draw'!D4,IF('Post-Group Draw'!E5=10,'Post-Group Draw'!D5,IF('Post-Group Draw'!E6=10,'Post-Group Draw'!D6,IF('Post-Group Draw'!E7=10,'Post-Group Draw'!D7,IF('Post-Group Draw'!E8=10,'Post-Group Draw'!D8,IF('Post-Group Draw'!E9=10,'Post-Group Draw'!D9,IF('Post-Group Draw'!E10=10,'Post-Group Draw'!D10,IF('Post-Group Draw'!E11=10,'Post-Group Draw'!D11,IF('Post-Group Draw'!E12=10,'Post-Group Draw'!D12,IF('Post-Group Draw'!E13=10,'Post-Group Draw'!D13,"UNDETERMINED")))))))))))</f>
        <v>Jason Christopher</v>
      </c>
      <c r="I77" s="74" t="s">
        <v>48</v>
      </c>
    </row>
    <row r="78" spans="2:10" ht="15.6" customHeight="1">
      <c r="B78" s="119">
        <v>6</v>
      </c>
      <c r="C78" s="93" t="s">
        <v>69</v>
      </c>
      <c r="D78" s="11" t="str">
        <f>IF('Post-Group Draw'!E3=5,'Post-Group Draw'!D3,IF('Post-Group Draw'!E4=5,'Post-Group Draw'!D4,IF('Post-Group Draw'!E5=5,'Post-Group Draw'!D5,IF('Post-Group Draw'!E6=5,'Post-Group Draw'!D6,IF('Post-Group Draw'!E7=5,'Post-Group Draw'!D7,IF('Post-Group Draw'!E8=5,'Post-Group Draw'!D8,IF('Post-Group Draw'!E9=5,'Post-Group Draw'!D9,IF('Post-Group Draw'!E10=5,'Post-Group Draw'!D10,IF('Post-Group Draw'!E11=5,'Post-Group Draw'!D11,IF('Post-Group Draw'!E12=5,'Post-Group Draw'!D12,IF('Post-Group Draw'!E13=5,'Post-Group Draw'!D13,"UNDETERMINED")))))))))))</f>
        <v>Darren Barnes</v>
      </c>
      <c r="E78" s="12">
        <v>0</v>
      </c>
      <c r="F78" s="13" t="s">
        <v>61</v>
      </c>
      <c r="G78" s="14">
        <v>2</v>
      </c>
      <c r="H78" s="15" t="str">
        <f>IF('Post-Group Draw'!E3=9,'Post-Group Draw'!D3,IF('Post-Group Draw'!E4=9,'Post-Group Draw'!D4,IF('Post-Group Draw'!E5=9,'Post-Group Draw'!D5,IF('Post-Group Draw'!E6=9,'Post-Group Draw'!D6,IF('Post-Group Draw'!E7=9,'Post-Group Draw'!D7,IF('Post-Group Draw'!E8=9,'Post-Group Draw'!D8,IF('Post-Group Draw'!E9=9,'Post-Group Draw'!D9,IF('Post-Group Draw'!E10=9,'Post-Group Draw'!D10,IF('Post-Group Draw'!E11=9,'Post-Group Draw'!D11,IF('Post-Group Draw'!E12=9,'Post-Group Draw'!D12,IF('Post-Group Draw'!E13=9,'Post-Group Draw'!D13,"UNDETERMINED")))))))))))</f>
        <v>Gage Badger</v>
      </c>
      <c r="I78" s="74" t="str">
        <f>H97</f>
        <v>Rudi Peters</v>
      </c>
    </row>
    <row r="79" spans="2:10" ht="15.6" customHeight="1">
      <c r="B79" s="116">
        <v>7</v>
      </c>
      <c r="C79" s="94" t="s">
        <v>71</v>
      </c>
      <c r="D79" s="18" t="str">
        <f>Results!J7</f>
        <v>Stuart Briffett</v>
      </c>
      <c r="E79" s="19" t="s">
        <v>72</v>
      </c>
      <c r="F79" s="20" t="s">
        <v>61</v>
      </c>
      <c r="G79" s="21" t="s">
        <v>73</v>
      </c>
      <c r="H79" s="22" t="str">
        <f>Results!J54</f>
        <v>Dave Fletcher</v>
      </c>
      <c r="I79" s="75" t="str">
        <f>Results!J47</f>
        <v>Connor Gregory</v>
      </c>
    </row>
    <row r="80" spans="2:10" ht="15.6" customHeight="1">
      <c r="B80" s="116">
        <v>8</v>
      </c>
      <c r="C80" s="94" t="s">
        <v>71</v>
      </c>
      <c r="D80" s="18" t="str">
        <f>Results!J12</f>
        <v>Nigel Morgan</v>
      </c>
      <c r="E80" s="19" t="s">
        <v>73</v>
      </c>
      <c r="F80" s="20" t="s">
        <v>61</v>
      </c>
      <c r="G80" s="21" t="s">
        <v>72</v>
      </c>
      <c r="H80" s="22" t="str">
        <f>Results!J60</f>
        <v>Rob Fitch</v>
      </c>
      <c r="I80" s="75" t="str">
        <f>Results!J53</f>
        <v>Adam Douglas</v>
      </c>
    </row>
    <row r="81" spans="2:12" ht="15.6" customHeight="1" thickBot="1">
      <c r="B81" s="117">
        <v>9</v>
      </c>
      <c r="C81" s="95" t="s">
        <v>71</v>
      </c>
      <c r="D81" s="25" t="str">
        <f>Results!J17</f>
        <v>Terry Arnold</v>
      </c>
      <c r="E81" s="26">
        <v>2</v>
      </c>
      <c r="F81" s="27" t="s">
        <v>61</v>
      </c>
      <c r="G81" s="28">
        <v>1</v>
      </c>
      <c r="H81" s="29" t="str">
        <f>Results!J66</f>
        <v>Joe Parody</v>
      </c>
      <c r="I81" s="76" t="str">
        <f>Results!J59</f>
        <v>Malcolm Jamieson</v>
      </c>
    </row>
    <row r="82" spans="2:12" ht="15" customHeight="1" thickBot="1"/>
    <row r="83" spans="2:12" ht="15.6" customHeight="1" thickBot="1">
      <c r="B83" s="113" t="s">
        <v>55</v>
      </c>
      <c r="C83" s="83" t="s">
        <v>67</v>
      </c>
      <c r="D83" s="113" t="s">
        <v>57</v>
      </c>
      <c r="E83" s="124" t="s">
        <v>74</v>
      </c>
      <c r="F83" s="125"/>
      <c r="G83" s="126"/>
      <c r="H83" s="115" t="s">
        <v>57</v>
      </c>
      <c r="I83" s="83" t="s">
        <v>59</v>
      </c>
      <c r="J83" s="1" t="s">
        <v>60</v>
      </c>
    </row>
    <row r="84" spans="2:12" ht="15.6" customHeight="1">
      <c r="B84" s="118">
        <v>1</v>
      </c>
      <c r="C84" s="92" t="s">
        <v>75</v>
      </c>
      <c r="D84" s="4" t="str">
        <f>IF('Post-Group Draw'!E3=1,'Post-Group Draw'!C3,IF('Post-Group Draw'!E4=1,'Post-Group Draw'!C4,IF('Post-Group Draw'!E5=1,'Post-Group Draw'!C5,IF('Post-Group Draw'!E6=1,'Post-Group Draw'!C6,IF('Post-Group Draw'!E7=1,'Post-Group Draw'!C7,IF('Post-Group Draw'!E8=1,'Post-Group Draw'!C8,IF('Post-Group Draw'!E9=1,'Post-Group Draw'!C9,IF('Post-Group Draw'!E10=1,'Post-Group Draw'!C10,IF('Post-Group Draw'!E11=1,'Post-Group Draw'!C11,IF('Post-Group Draw'!E12=1,'Post-Group Draw'!C12,IF('Post-Group Draw'!E13=1,'Post-Group Draw'!C13,"UNDETERMINED")))))))))))</f>
        <v>Aaron Skinner</v>
      </c>
      <c r="E84" s="5">
        <v>0</v>
      </c>
      <c r="F84" s="6" t="s">
        <v>61</v>
      </c>
      <c r="G84" s="7" t="s">
        <v>76</v>
      </c>
      <c r="H84" s="8" t="str">
        <f>IF(E77&gt;G77,D77,IF(E77&lt;G77,H77,"BARRAGE 5 WINNER"))</f>
        <v>Jason Christopher</v>
      </c>
      <c r="I84" s="73" t="str">
        <f>IF(E73&lt;G73,D73,IF(E73&gt;G73,H73,"BARRAGE 1 LOSER"))</f>
        <v>Jamie Warren</v>
      </c>
    </row>
    <row r="85" spans="2:12" ht="15.6" customHeight="1">
      <c r="B85" s="119">
        <v>2</v>
      </c>
      <c r="C85" s="93" t="s">
        <v>75</v>
      </c>
      <c r="D85" s="11" t="str">
        <f>IF('Post-Group Draw'!E3=9,'Post-Group Draw'!C3,IF('Post-Group Draw'!E4=9,'Post-Group Draw'!C4,IF('Post-Group Draw'!E5=9,'Post-Group Draw'!C5,IF('Post-Group Draw'!E6=9,'Post-Group Draw'!C6,IF('Post-Group Draw'!E7=9,'Post-Group Draw'!C7,IF('Post-Group Draw'!E8=9,'Post-Group Draw'!C8,IF('Post-Group Draw'!E9=9,'Post-Group Draw'!C9,IF('Post-Group Draw'!E10=9,'Post-Group Draw'!C10,IF('Post-Group Draw'!E11=9,'Post-Group Draw'!C11,IF('Post-Group Draw'!E12=9,'Post-Group Draw'!C12,IF('Post-Group Draw'!E13=9,'Post-Group Draw'!C13,"UNDETERMINED")))))))))))</f>
        <v>Mick Hammonds</v>
      </c>
      <c r="E85" s="12">
        <v>1</v>
      </c>
      <c r="F85" s="13" t="s">
        <v>61</v>
      </c>
      <c r="G85" s="14">
        <v>0</v>
      </c>
      <c r="H85" s="15" t="str">
        <f>IF('Post-Group Draw'!E3=8,'Post-Group Draw'!C3,IF('Post-Group Draw'!E4=8,'Post-Group Draw'!C4,IF('Post-Group Draw'!E5=8,'Post-Group Draw'!C5,IF('Post-Group Draw'!E6=8,'Post-Group Draw'!C6,IF('Post-Group Draw'!E7=8,'Post-Group Draw'!C7,IF('Post-Group Draw'!E8=8,'Post-Group Draw'!C8,IF('Post-Group Draw'!E9=8,'Post-Group Draw'!C9,IF('Post-Group Draw'!E10=8,'Post-Group Draw'!C10,IF('Post-Group Draw'!E11=8,'Post-Group Draw'!C11,IF('Post-Group Draw'!E12=8,'Post-Group Draw'!C12,IF('Post-Group Draw'!E13=8,'Post-Group Draw'!C13,"UNDETERMINED")))))))))))</f>
        <v>Panos Stemitsiotis</v>
      </c>
      <c r="I85" s="74" t="s">
        <v>6</v>
      </c>
    </row>
    <row r="86" spans="2:12" ht="15.6" customHeight="1">
      <c r="B86" s="116">
        <v>3</v>
      </c>
      <c r="C86" s="94" t="s">
        <v>75</v>
      </c>
      <c r="D86" s="18" t="str">
        <f>IF('Post-Group Draw'!E3=5,'Post-Group Draw'!C3,IF('Post-Group Draw'!E4=5,'Post-Group Draw'!C4,IF('Post-Group Draw'!E5=5,'Post-Group Draw'!C5,IF('Post-Group Draw'!E6=5,'Post-Group Draw'!C6,IF('Post-Group Draw'!E7=5,'Post-Group Draw'!C7,IF('Post-Group Draw'!E8=5,'Post-Group Draw'!C8,IF('Post-Group Draw'!E9=5,'Post-Group Draw'!C9,IF('Post-Group Draw'!E10=5,'Post-Group Draw'!C10,IF('Post-Group Draw'!E11=5,'Post-Group Draw'!C11,IF('Post-Group Draw'!E12=5,'Post-Group Draw'!C12,IF('Post-Group Draw'!E13=5,'Post-Group Draw'!C13,"UNDETERMINED")))))))))))</f>
        <v>Chris Short</v>
      </c>
      <c r="E86" s="19">
        <v>3</v>
      </c>
      <c r="F86" s="20" t="s">
        <v>61</v>
      </c>
      <c r="G86" s="21">
        <v>0</v>
      </c>
      <c r="H86" s="22" t="str">
        <f>IF(E74&gt;G74,D74,IF(E74&lt;G74,H74,"BARRAGE 2 WINNER"))</f>
        <v>Ian Sharp</v>
      </c>
      <c r="I86" s="75" t="str">
        <f>IF(E75&lt;G75,D75,IF(E75&gt;G75,H75,"BARRAGE 3 LOSER"))</f>
        <v>Steve Wonnacott</v>
      </c>
    </row>
    <row r="87" spans="2:12" ht="15.6" customHeight="1">
      <c r="B87" s="116">
        <v>4</v>
      </c>
      <c r="C87" s="94" t="s">
        <v>75</v>
      </c>
      <c r="D87" s="18" t="str">
        <f>IF(E76&gt;G76,D76,IF(E76&lt;G76,H76,"BARRAGE 4 WINNER"))</f>
        <v>Alan Lee</v>
      </c>
      <c r="E87" s="19" t="s">
        <v>77</v>
      </c>
      <c r="F87" s="20" t="s">
        <v>61</v>
      </c>
      <c r="G87" s="21">
        <v>1</v>
      </c>
      <c r="H87" s="22" t="str">
        <f>IF('Post-Group Draw'!E3=4,'Post-Group Draw'!C3,IF('Post-Group Draw'!E4=4,'Post-Group Draw'!C4,IF('Post-Group Draw'!E5=4,'Post-Group Draw'!C5,IF('Post-Group Draw'!E6=4,'Post-Group Draw'!C6,IF('Post-Group Draw'!E7=4,'Post-Group Draw'!C7,IF('Post-Group Draw'!E8=4,'Post-Group Draw'!C8,IF('Post-Group Draw'!E9=4,'Post-Group Draw'!C9,IF('Post-Group Draw'!E10=4,'Post-Group Draw'!C10,IF('Post-Group Draw'!E11=4,'Post-Group Draw'!C11,IF('Post-Group Draw'!E12=4,'Post-Group Draw'!C12,IF('Post-Group Draw'!E13=4,'Post-Group Draw'!C13,"UNDETERMINED")))))))))))</f>
        <v>Marco Ghigliotti</v>
      </c>
      <c r="I87" s="75" t="s">
        <v>38</v>
      </c>
    </row>
    <row r="88" spans="2:12" ht="15.6" customHeight="1">
      <c r="B88" s="119">
        <v>5</v>
      </c>
      <c r="C88" s="93" t="s">
        <v>78</v>
      </c>
      <c r="D88" s="11" t="str">
        <f>Results!J47</f>
        <v>Connor Gregory</v>
      </c>
      <c r="E88" s="12">
        <v>7</v>
      </c>
      <c r="F88" s="13" t="s">
        <v>61</v>
      </c>
      <c r="G88" s="14">
        <v>1</v>
      </c>
      <c r="H88" s="15" t="str">
        <f>Results!J24</f>
        <v>Andy McGovern</v>
      </c>
      <c r="I88" s="74" t="s">
        <v>79</v>
      </c>
    </row>
    <row r="89" spans="2:12" ht="15.6" customHeight="1">
      <c r="B89" s="119">
        <v>6</v>
      </c>
      <c r="C89" s="93" t="s">
        <v>78</v>
      </c>
      <c r="D89" s="11" t="str">
        <f>Results!J53</f>
        <v>Adam Douglas</v>
      </c>
      <c r="E89" s="12">
        <v>2</v>
      </c>
      <c r="F89" s="13" t="s">
        <v>61</v>
      </c>
      <c r="G89" s="14">
        <v>0</v>
      </c>
      <c r="H89" s="15" t="str">
        <f>Results!J30</f>
        <v>Simon Hawley</v>
      </c>
      <c r="I89" s="74" t="str">
        <f>IF(E79&lt;G79,D79,IF(E79&gt;G79,H79,"PLATE-BRG 1 LOSER"))</f>
        <v>Stuart Briffett</v>
      </c>
    </row>
    <row r="90" spans="2:12" ht="15.6" customHeight="1">
      <c r="B90" s="116">
        <v>7</v>
      </c>
      <c r="C90" s="94" t="s">
        <v>78</v>
      </c>
      <c r="D90" s="18" t="str">
        <f>Results!J59</f>
        <v>Malcolm Jamieson</v>
      </c>
      <c r="E90" s="19">
        <v>4</v>
      </c>
      <c r="F90" s="20" t="s">
        <v>61</v>
      </c>
      <c r="G90" s="21">
        <v>0</v>
      </c>
      <c r="H90" s="22" t="str">
        <f>Results!J36</f>
        <v>Alex Salter</v>
      </c>
      <c r="I90" s="75" t="str">
        <f>IF(E80&lt;G80,D80,IF(E80&gt;G80,H80,"PLATE-BRG 2 LOSER"))</f>
        <v>Rob Fitch</v>
      </c>
    </row>
    <row r="91" spans="2:12" ht="15.6" customHeight="1" thickBot="1">
      <c r="B91" s="117">
        <v>8</v>
      </c>
      <c r="C91" s="95" t="s">
        <v>78</v>
      </c>
      <c r="D91" s="25" t="str">
        <f>Results!J65</f>
        <v>Simon McMurray</v>
      </c>
      <c r="E91" s="26">
        <v>0</v>
      </c>
      <c r="F91" s="27" t="s">
        <v>61</v>
      </c>
      <c r="G91" s="28">
        <v>1</v>
      </c>
      <c r="H91" s="29" t="str">
        <f>Results!J42</f>
        <v>Mark Weaver</v>
      </c>
      <c r="I91" s="76" t="str">
        <f>IF(E81&lt;G81,D81,IF(E81&gt;G81,H81,"PLATE-BRG 3 LOSER"))</f>
        <v>Joe Parody</v>
      </c>
    </row>
    <row r="92" spans="2:12" ht="15" customHeight="1" thickBot="1"/>
    <row r="93" spans="2:12" ht="15.6" customHeight="1" thickBot="1">
      <c r="B93" s="113" t="s">
        <v>55</v>
      </c>
      <c r="C93" s="83" t="s">
        <v>67</v>
      </c>
      <c r="D93" s="113" t="s">
        <v>57</v>
      </c>
      <c r="E93" s="124" t="s">
        <v>80</v>
      </c>
      <c r="F93" s="125"/>
      <c r="G93" s="126"/>
      <c r="H93" s="115" t="s">
        <v>57</v>
      </c>
      <c r="I93" s="83" t="s">
        <v>59</v>
      </c>
      <c r="J93" s="1" t="s">
        <v>63</v>
      </c>
    </row>
    <row r="94" spans="2:12" ht="15.6" customHeight="1">
      <c r="B94" s="118">
        <v>1</v>
      </c>
      <c r="C94" s="92" t="s">
        <v>75</v>
      </c>
      <c r="D94" s="4" t="str">
        <f>IF('Post-Group Draw'!E3=3,'Post-Group Draw'!C3,IF('Post-Group Draw'!E4=3,'Post-Group Draw'!C4,IF('Post-Group Draw'!E5=3,'Post-Group Draw'!C5,IF('Post-Group Draw'!E6=3,'Post-Group Draw'!C6,IF('Post-Group Draw'!E7=3,'Post-Group Draw'!C7,IF('Post-Group Draw'!E8=3,'Post-Group Draw'!C8,IF('Post-Group Draw'!E9=3,'Post-Group Draw'!C9,IF('Post-Group Draw'!E10=3,'Post-Group Draw'!C10,IF('Post-Group Draw'!E11=3,'Post-Group Draw'!C11,IF('Post-Group Draw'!E12=3,'Post-Group Draw'!C12,IF('Post-Group Draw'!E13=3,'Post-Group Draw'!C13,"UNDETERMINED")))))))))))</f>
        <v>Victor Jones</v>
      </c>
      <c r="E94" s="5">
        <v>0</v>
      </c>
      <c r="F94" s="6" t="s">
        <v>61</v>
      </c>
      <c r="G94" s="7">
        <v>1</v>
      </c>
      <c r="H94" s="8" t="str">
        <f>IF(E75&gt;G75,D75,IF(E75&lt;G75,H75,"BARRAGE 3 WINNER"))</f>
        <v>Justin Scott</v>
      </c>
      <c r="I94" s="73" t="str">
        <f>IF(E87&lt;G87,D87,IF(E87&gt;G87,H87,"L16 LOSER 4"))</f>
        <v>Marco Ghigliotti</v>
      </c>
      <c r="L94" s="96"/>
    </row>
    <row r="95" spans="2:12" ht="15.6" customHeight="1">
      <c r="B95" s="119">
        <v>2</v>
      </c>
      <c r="C95" s="93" t="s">
        <v>75</v>
      </c>
      <c r="D95" s="11" t="str">
        <f>IF(E73&gt;G73,D73,IF(E73&lt;G73,H73,"BARRAGE 1 WINNER"))</f>
        <v>Paul Andreas</v>
      </c>
      <c r="E95" s="12">
        <v>2</v>
      </c>
      <c r="F95" s="13" t="s">
        <v>61</v>
      </c>
      <c r="G95" s="14">
        <v>3</v>
      </c>
      <c r="H95" s="15" t="str">
        <f>IF('Post-Group Draw'!E3=6,'Post-Group Draw'!C3,IF('Post-Group Draw'!E4=6,'Post-Group Draw'!C4,IF('Post-Group Draw'!E5=6,'Post-Group Draw'!C5,IF('Post-Group Draw'!E6=6,'Post-Group Draw'!C6,IF('Post-Group Draw'!E7=6,'Post-Group Draw'!C7,IF('Post-Group Draw'!E8=6,'Post-Group Draw'!C8,IF('Post-Group Draw'!E9=6,'Post-Group Draw'!C9,IF('Post-Group Draw'!E10=6,'Post-Group Draw'!C10,IF('Post-Group Draw'!E11=6,'Post-Group Draw'!C11,IF('Post-Group Draw'!E12=6,'Post-Group Draw'!C12,IF('Post-Group Draw'!E13=6,'Post-Group Draw'!C13,"UNDETERMINED")))))))))))</f>
        <v>Kye Arnold</v>
      </c>
      <c r="I95" s="74" t="s">
        <v>81</v>
      </c>
    </row>
    <row r="96" spans="2:12" ht="15.6" customHeight="1">
      <c r="B96" s="116">
        <v>3</v>
      </c>
      <c r="C96" s="94" t="s">
        <v>75</v>
      </c>
      <c r="D96" s="18" t="str">
        <f>IF('Post-Group Draw'!E3=7,'Post-Group Draw'!C3,IF('Post-Group Draw'!E4=7,'Post-Group Draw'!C4,IF('Post-Group Draw'!E5=7,'Post-Group Draw'!C5,IF('Post-Group Draw'!E6=7,'Post-Group Draw'!C6,IF('Post-Group Draw'!E7=7,'Post-Group Draw'!C7,IF('Post-Group Draw'!E8=7,'Post-Group Draw'!C8,IF('Post-Group Draw'!E9=7,'Post-Group Draw'!C9,IF('Post-Group Draw'!E10=7,'Post-Group Draw'!C10,IF('Post-Group Draw'!E11=7,'Post-Group Draw'!C11,IF('Post-Group Draw'!E12=7,'Post-Group Draw'!C12,IF('Post-Group Draw'!E13=7,'Post-Group Draw'!C13,"UNDETERMINED")))))))))))</f>
        <v>Richard Badger</v>
      </c>
      <c r="E96" s="19">
        <v>0</v>
      </c>
      <c r="F96" s="20" t="s">
        <v>61</v>
      </c>
      <c r="G96" s="21">
        <v>2</v>
      </c>
      <c r="H96" s="22" t="str">
        <f>IF('Post-Group Draw'!E3=10,'Post-Group Draw'!C3,IF('Post-Group Draw'!E4=10,'Post-Group Draw'!C4,IF('Post-Group Draw'!E5=10,'Post-Group Draw'!C5,IF('Post-Group Draw'!E6=10,'Post-Group Draw'!C6,IF('Post-Group Draw'!E7=10,'Post-Group Draw'!C7,IF('Post-Group Draw'!E8=10,'Post-Group Draw'!C8,IF('Post-Group Draw'!E9=10,'Post-Group Draw'!C9,IF('Post-Group Draw'!E10=10,'Post-Group Draw'!C10,IF('Post-Group Draw'!E11=10,'Post-Group Draw'!C11,IF('Post-Group Draw'!E12=10,'Post-Group Draw'!C12,IF('Post-Group Draw'!E13=10,'Post-Group Draw'!C13,"UNDETERMINED")))))))))))</f>
        <v>Kevin Cordell</v>
      </c>
      <c r="I96" s="75" t="s">
        <v>48</v>
      </c>
    </row>
    <row r="97" spans="2:10" ht="15.6" customHeight="1">
      <c r="B97" s="116">
        <v>4</v>
      </c>
      <c r="C97" s="94" t="s">
        <v>75</v>
      </c>
      <c r="D97" s="18" t="str">
        <f>IF(E78&gt;G78,D78,IF(E78&lt;G78,H78,"BARRAGE 6 WINNER"))</f>
        <v>Gage Badger</v>
      </c>
      <c r="E97" s="19">
        <v>1</v>
      </c>
      <c r="F97" s="20" t="s">
        <v>61</v>
      </c>
      <c r="G97" s="21">
        <v>3</v>
      </c>
      <c r="H97" s="22" t="str">
        <f>IF('Post-Group Draw'!E3=2,'Post-Group Draw'!C3,IF('Post-Group Draw'!E4=2,'Post-Group Draw'!C4,IF('Post-Group Draw'!E5=2,'Post-Group Draw'!C5,IF('Post-Group Draw'!E6=2,'Post-Group Draw'!C6,IF('Post-Group Draw'!E7=2,'Post-Group Draw'!C7,IF('Post-Group Draw'!E8=2,'Post-Group Draw'!C8,IF('Post-Group Draw'!E9=2,'Post-Group Draw'!C9,IF('Post-Group Draw'!E10=2,'Post-Group Draw'!C10,IF('Post-Group Draw'!E11=2,'Post-Group Draw'!C11,IF('Post-Group Draw'!E12=2,'Post-Group Draw'!C12,IF('Post-Group Draw'!E13=2,'Post-Group Draw'!C13,"UNDETERMINED")))))))))))</f>
        <v>Rudi Peters</v>
      </c>
      <c r="I97" s="75" t="s">
        <v>37</v>
      </c>
    </row>
    <row r="98" spans="2:10" ht="15.6" customHeight="1">
      <c r="B98" s="119">
        <v>5</v>
      </c>
      <c r="C98" s="93" t="s">
        <v>78</v>
      </c>
      <c r="D98" s="11" t="str">
        <f>Results!J23</f>
        <v>Rob Paterson</v>
      </c>
      <c r="E98" s="12" t="s">
        <v>73</v>
      </c>
      <c r="F98" s="13" t="s">
        <v>61</v>
      </c>
      <c r="G98" s="14" t="s">
        <v>72</v>
      </c>
      <c r="H98" s="15" t="str">
        <f>Results!J48</f>
        <v>Simon Bodily</v>
      </c>
      <c r="I98" s="74" t="s">
        <v>18</v>
      </c>
    </row>
    <row r="99" spans="2:10" ht="15.6" customHeight="1">
      <c r="B99" s="119">
        <v>6</v>
      </c>
      <c r="C99" s="93" t="s">
        <v>78</v>
      </c>
      <c r="D99" s="11" t="str">
        <f>Results!J29</f>
        <v>Richard Roper</v>
      </c>
      <c r="E99" s="12">
        <v>2</v>
      </c>
      <c r="F99" s="13" t="s">
        <v>61</v>
      </c>
      <c r="G99" s="14">
        <v>0</v>
      </c>
      <c r="H99" s="15" t="str">
        <f>IF(E79&gt;G79,D79,IF(E79&lt;G79,H79,"PLATE-BRG 1 WINNER"))</f>
        <v>Dave Fletcher</v>
      </c>
      <c r="I99" s="74" t="s">
        <v>82</v>
      </c>
    </row>
    <row r="100" spans="2:10" ht="15.6" customHeight="1">
      <c r="B100" s="116">
        <v>7</v>
      </c>
      <c r="C100" s="94" t="s">
        <v>78</v>
      </c>
      <c r="D100" s="18" t="str">
        <f>Results!J35</f>
        <v>Rob Piggott</v>
      </c>
      <c r="E100" s="19">
        <v>1</v>
      </c>
      <c r="F100" s="20" t="s">
        <v>61</v>
      </c>
      <c r="G100" s="21">
        <v>0</v>
      </c>
      <c r="H100" s="22" t="str">
        <f>IF(E80&gt;G80,D80,IF(E80&lt;G80,H80,"PLATE-BRG 2 WINNER"))</f>
        <v>Nigel Morgan</v>
      </c>
      <c r="I100" s="75" t="s">
        <v>9</v>
      </c>
    </row>
    <row r="101" spans="2:10" ht="15.6" customHeight="1" thickBot="1">
      <c r="B101" s="117">
        <v>8</v>
      </c>
      <c r="C101" s="95" t="s">
        <v>78</v>
      </c>
      <c r="D101" s="25" t="str">
        <f>Results!J41</f>
        <v>Bob Fairbrother</v>
      </c>
      <c r="E101" s="26">
        <v>1</v>
      </c>
      <c r="F101" s="27" t="s">
        <v>61</v>
      </c>
      <c r="G101" s="28">
        <v>0</v>
      </c>
      <c r="H101" s="29" t="str">
        <f>IF(E81&gt;G81,D81,IF(E81&lt;G81,H81,"PLATE-BRG 3 WINNER"))</f>
        <v>Terry Arnold</v>
      </c>
      <c r="I101" s="76" t="s">
        <v>28</v>
      </c>
    </row>
    <row r="102" spans="2:10" ht="15" thickBot="1"/>
    <row r="103" spans="2:10" ht="15.6" customHeight="1" thickBot="1">
      <c r="B103" s="113" t="s">
        <v>55</v>
      </c>
      <c r="C103" s="83" t="s">
        <v>67</v>
      </c>
      <c r="D103" s="113" t="s">
        <v>57</v>
      </c>
      <c r="E103" s="124" t="s">
        <v>83</v>
      </c>
      <c r="F103" s="125"/>
      <c r="G103" s="126"/>
      <c r="H103" s="115" t="s">
        <v>57</v>
      </c>
      <c r="I103" s="83" t="s">
        <v>59</v>
      </c>
      <c r="J103" s="1" t="s">
        <v>84</v>
      </c>
    </row>
    <row r="104" spans="2:10" ht="15.6" customHeight="1">
      <c r="B104" s="118">
        <v>1</v>
      </c>
      <c r="C104" s="3" t="s">
        <v>85</v>
      </c>
      <c r="D104" s="4" t="s">
        <v>10</v>
      </c>
      <c r="E104" s="5">
        <v>0</v>
      </c>
      <c r="F104" s="6" t="s">
        <v>61</v>
      </c>
      <c r="G104" s="7">
        <v>1</v>
      </c>
      <c r="H104" s="8" t="str">
        <f>D85</f>
        <v>Mick Hammonds</v>
      </c>
      <c r="I104" s="73" t="s">
        <v>70</v>
      </c>
    </row>
    <row r="105" spans="2:10" ht="15.6" customHeight="1">
      <c r="B105" s="119">
        <v>2</v>
      </c>
      <c r="C105" s="10" t="s">
        <v>85</v>
      </c>
      <c r="D105" s="11" t="str">
        <f>D86</f>
        <v>Chris Short</v>
      </c>
      <c r="E105" s="12">
        <v>2</v>
      </c>
      <c r="F105" s="13" t="s">
        <v>61</v>
      </c>
      <c r="G105" s="14">
        <v>0</v>
      </c>
      <c r="H105" s="15" t="str">
        <f>D87</f>
        <v>Alan Lee</v>
      </c>
      <c r="I105" s="74" t="str">
        <f>IF(E97&lt;G97,D97,IF(E97&gt;G97,H97,"L16 LOSER 8"))</f>
        <v>Gage Badger</v>
      </c>
    </row>
    <row r="106" spans="2:10" ht="15.6" customHeight="1">
      <c r="B106" s="116">
        <v>3</v>
      </c>
      <c r="C106" s="17" t="s">
        <v>85</v>
      </c>
      <c r="D106" s="18" t="str">
        <f>H94</f>
        <v>Justin Scott</v>
      </c>
      <c r="E106" s="19">
        <v>2</v>
      </c>
      <c r="F106" s="20" t="s">
        <v>61</v>
      </c>
      <c r="G106" s="21">
        <v>0</v>
      </c>
      <c r="H106" s="22" t="str">
        <f>H95</f>
        <v>Kye Arnold</v>
      </c>
      <c r="I106" s="75" t="s">
        <v>43</v>
      </c>
    </row>
    <row r="107" spans="2:10" ht="15.6" customHeight="1">
      <c r="B107" s="116">
        <v>4</v>
      </c>
      <c r="C107" s="17" t="s">
        <v>85</v>
      </c>
      <c r="D107" s="18" t="str">
        <f>H96</f>
        <v>Kevin Cordell</v>
      </c>
      <c r="E107" s="19">
        <v>1</v>
      </c>
      <c r="F107" s="20" t="s">
        <v>61</v>
      </c>
      <c r="G107" s="21">
        <v>0</v>
      </c>
      <c r="H107" s="22" t="str">
        <f>H97</f>
        <v>Rudi Peters</v>
      </c>
      <c r="I107" s="75" t="str">
        <f>IF(E95&lt;G95,D95,IF(E95&gt;G95,H95,"L16 LOSER 6"))</f>
        <v>Paul Andreas</v>
      </c>
    </row>
    <row r="108" spans="2:10" ht="15.6" customHeight="1">
      <c r="B108" s="119">
        <v>5</v>
      </c>
      <c r="C108" s="10" t="s">
        <v>86</v>
      </c>
      <c r="D108" s="11" t="str">
        <f>IF(E88&gt;G88,D88,IF(G88&lt;E88,H88,"PLATE L16 WINNER 1"))</f>
        <v>Connor Gregory</v>
      </c>
      <c r="E108" s="12">
        <v>0</v>
      </c>
      <c r="F108" s="13" t="s">
        <v>61</v>
      </c>
      <c r="G108" s="14">
        <v>1</v>
      </c>
      <c r="H108" s="15" t="str">
        <f>IF(E89&gt;G89,D89,IF(G89&lt;E89,H89,"PLATE L16 WINNER 2"))</f>
        <v>Adam Douglas</v>
      </c>
      <c r="I108" s="74" t="s">
        <v>11</v>
      </c>
    </row>
    <row r="109" spans="2:10" ht="15.6" customHeight="1">
      <c r="B109" s="119">
        <v>6</v>
      </c>
      <c r="C109" s="10" t="s">
        <v>86</v>
      </c>
      <c r="D109" s="11" t="str">
        <f>IF(E90&gt;G90,D90,IF(G90&lt;E90,H90,"PLATE L16 WINNER 3"))</f>
        <v>Malcolm Jamieson</v>
      </c>
      <c r="E109" s="12">
        <v>2</v>
      </c>
      <c r="F109" s="13" t="s">
        <v>61</v>
      </c>
      <c r="G109" s="14">
        <v>0</v>
      </c>
      <c r="H109" s="15" t="s">
        <v>29</v>
      </c>
      <c r="I109" s="74" t="s">
        <v>52</v>
      </c>
    </row>
    <row r="110" spans="2:10" ht="15.6" customHeight="1">
      <c r="B110" s="116">
        <v>7</v>
      </c>
      <c r="C110" s="17" t="s">
        <v>86</v>
      </c>
      <c r="D110" s="18" t="s">
        <v>12</v>
      </c>
      <c r="E110" s="19">
        <v>1</v>
      </c>
      <c r="F110" s="20" t="s">
        <v>61</v>
      </c>
      <c r="G110" s="21">
        <v>0</v>
      </c>
      <c r="H110" s="22" t="str">
        <f>IF(E99&gt;G99,D99,IF(G99&lt;E99,H99,"PLATE L16 WINNER 6"))</f>
        <v>Richard Roper</v>
      </c>
      <c r="I110" s="75" t="s">
        <v>14</v>
      </c>
    </row>
    <row r="111" spans="2:10" ht="15.6" customHeight="1" thickBot="1">
      <c r="B111" s="117">
        <v>8</v>
      </c>
      <c r="C111" s="24" t="s">
        <v>86</v>
      </c>
      <c r="D111" s="25" t="str">
        <f>IF(E100&gt;G100,D100,IF(G100&lt;E100,H100,"PLATE L16 WINNER 7"))</f>
        <v>Rob Piggott</v>
      </c>
      <c r="E111" s="26">
        <v>5</v>
      </c>
      <c r="F111" s="27" t="s">
        <v>61</v>
      </c>
      <c r="G111" s="28">
        <v>3</v>
      </c>
      <c r="H111" s="29" t="str">
        <f>IF(E101&gt;G101,D101,IF(G101&lt;E101,H101,"PLATE L16 WINNER 8"))</f>
        <v>Bob Fairbrother</v>
      </c>
      <c r="I111" s="76" t="s">
        <v>38</v>
      </c>
    </row>
    <row r="112" spans="2:10" ht="15" thickBot="1"/>
    <row r="113" spans="2:10" ht="15.6" customHeight="1" thickBot="1">
      <c r="B113" s="113" t="s">
        <v>55</v>
      </c>
      <c r="C113" s="83" t="s">
        <v>67</v>
      </c>
      <c r="D113" s="113" t="s">
        <v>57</v>
      </c>
      <c r="E113" s="124" t="s">
        <v>87</v>
      </c>
      <c r="F113" s="125"/>
      <c r="G113" s="126"/>
      <c r="H113" s="115" t="s">
        <v>57</v>
      </c>
      <c r="I113" s="83" t="s">
        <v>59</v>
      </c>
      <c r="J113" s="1" t="s">
        <v>88</v>
      </c>
    </row>
    <row r="114" spans="2:10" ht="15.6" customHeight="1">
      <c r="B114" s="118">
        <v>1</v>
      </c>
      <c r="C114" s="3" t="s">
        <v>89</v>
      </c>
      <c r="D114" s="4" t="s">
        <v>8</v>
      </c>
      <c r="E114" s="5">
        <v>1</v>
      </c>
      <c r="F114" s="6" t="s">
        <v>61</v>
      </c>
      <c r="G114" s="7">
        <v>3</v>
      </c>
      <c r="H114" s="8" t="str">
        <f>IF(E105&gt;G105,D105,IF(G105&lt;E105,H105,"QF WINNER 2"))</f>
        <v>Chris Short</v>
      </c>
      <c r="I114" s="73" t="s">
        <v>90</v>
      </c>
    </row>
    <row r="115" spans="2:10" ht="15.6" customHeight="1">
      <c r="B115" s="119">
        <v>2</v>
      </c>
      <c r="C115" s="10" t="s">
        <v>89</v>
      </c>
      <c r="D115" s="11" t="str">
        <f>IF(E106&gt;G106,D106,IF(G106&lt;E106,H106,"QF WINNER 3"))</f>
        <v>Justin Scott</v>
      </c>
      <c r="E115" s="12">
        <v>1</v>
      </c>
      <c r="F115" s="13" t="s">
        <v>61</v>
      </c>
      <c r="G115" s="14">
        <v>2</v>
      </c>
      <c r="H115" s="15" t="str">
        <f>IF(E107&gt;G107,D107,IF(G107&lt;E107,H107,"QF WINNER 4"))</f>
        <v>Kevin Cordell</v>
      </c>
      <c r="I115" s="74" t="s">
        <v>91</v>
      </c>
    </row>
    <row r="116" spans="2:10" ht="15.6" customHeight="1">
      <c r="B116" s="116">
        <v>3</v>
      </c>
      <c r="C116" s="17" t="s">
        <v>92</v>
      </c>
      <c r="D116" s="18" t="s">
        <v>93</v>
      </c>
      <c r="E116" s="19">
        <v>0</v>
      </c>
      <c r="F116" s="20" t="s">
        <v>61</v>
      </c>
      <c r="G116" s="21">
        <v>2</v>
      </c>
      <c r="H116" s="22" t="str">
        <f>IF(E109&gt;G109,D109,IF(G109&lt;E109,H109,"PLATE-QF WINNER 2"))</f>
        <v>Malcolm Jamieson</v>
      </c>
      <c r="I116" s="75" t="s">
        <v>82</v>
      </c>
    </row>
    <row r="117" spans="2:10" ht="15.6" customHeight="1" thickBot="1">
      <c r="B117" s="117">
        <v>4</v>
      </c>
      <c r="C117" s="24" t="s">
        <v>92</v>
      </c>
      <c r="D117" s="25" t="str">
        <f>IF(E110&gt;G110,D110,IF(G110&lt;E110,H110,"PLATE-QF WINNER 3"))</f>
        <v>Rob Paterson</v>
      </c>
      <c r="E117" s="26">
        <v>3</v>
      </c>
      <c r="F117" s="27" t="s">
        <v>61</v>
      </c>
      <c r="G117" s="28">
        <v>0</v>
      </c>
      <c r="H117" s="29" t="str">
        <f>IF(E111&gt;G111,D111,IF(G111&lt;E111,H111,"PLATE-QF WINNER 4"))</f>
        <v>Rob Piggott</v>
      </c>
      <c r="I117" s="76" t="s">
        <v>94</v>
      </c>
    </row>
    <row r="118" spans="2:10" ht="15" thickBot="1"/>
    <row r="119" spans="2:10" ht="15.6" customHeight="1" thickBot="1">
      <c r="B119" s="113" t="s">
        <v>55</v>
      </c>
      <c r="C119" s="83" t="s">
        <v>67</v>
      </c>
      <c r="D119" s="113" t="s">
        <v>57</v>
      </c>
      <c r="E119" s="124" t="s">
        <v>95</v>
      </c>
      <c r="F119" s="125"/>
      <c r="G119" s="126"/>
      <c r="H119" s="115" t="s">
        <v>57</v>
      </c>
      <c r="I119" s="83" t="s">
        <v>59</v>
      </c>
      <c r="J119" s="1" t="s">
        <v>84</v>
      </c>
    </row>
    <row r="120" spans="2:10" ht="15.6" customHeight="1">
      <c r="B120" s="118">
        <v>1</v>
      </c>
      <c r="C120" s="3" t="s">
        <v>96</v>
      </c>
      <c r="D120" s="4" t="s">
        <v>81</v>
      </c>
      <c r="E120" s="5">
        <v>0</v>
      </c>
      <c r="F120" s="6" t="s">
        <v>61</v>
      </c>
      <c r="G120" s="7">
        <v>1</v>
      </c>
      <c r="H120" s="8" t="s">
        <v>6</v>
      </c>
      <c r="I120" s="73" t="s">
        <v>35</v>
      </c>
    </row>
    <row r="121" spans="2:10" ht="15.6" customHeight="1" thickBot="1">
      <c r="B121" s="120">
        <v>2</v>
      </c>
      <c r="C121" s="31" t="s">
        <v>97</v>
      </c>
      <c r="D121" s="77" t="s">
        <v>98</v>
      </c>
      <c r="E121" s="79">
        <v>1</v>
      </c>
      <c r="F121" s="32" t="s">
        <v>61</v>
      </c>
      <c r="G121" s="80">
        <v>2</v>
      </c>
      <c r="H121" s="78" t="s">
        <v>99</v>
      </c>
      <c r="I121" s="81" t="s">
        <v>93</v>
      </c>
    </row>
  </sheetData>
  <mergeCells count="11">
    <mergeCell ref="E113:G113"/>
    <mergeCell ref="E119:G119"/>
    <mergeCell ref="E2:G2"/>
    <mergeCell ref="E83:G83"/>
    <mergeCell ref="E72:G72"/>
    <mergeCell ref="E58:G58"/>
    <mergeCell ref="E44:G44"/>
    <mergeCell ref="E30:G30"/>
    <mergeCell ref="E16:G16"/>
    <mergeCell ref="E93:G93"/>
    <mergeCell ref="E103:G10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13712-CC3D-4E9B-B995-C7B6CC3DC60F}">
  <dimension ref="B1:AB125"/>
  <sheetViews>
    <sheetView showGridLines="0" tabSelected="1" topLeftCell="B53" zoomScale="145" zoomScaleNormal="145" workbookViewId="0">
      <selection activeCell="D68" sqref="D68:F68"/>
    </sheetView>
  </sheetViews>
  <sheetFormatPr defaultColWidth="8.85546875" defaultRowHeight="14.45"/>
  <cols>
    <col min="1" max="1" width="5.7109375" style="1" customWidth="1"/>
    <col min="2" max="2" width="7.140625" style="1" bestFit="1" customWidth="1"/>
    <col min="3" max="3" width="17.85546875" style="1" customWidth="1"/>
    <col min="4" max="6" width="5.5703125" style="1" customWidth="1"/>
    <col min="7" max="7" width="17.7109375" style="1" customWidth="1"/>
    <col min="8" max="8" width="8.85546875" style="1"/>
    <col min="9" max="9" width="5.5703125" style="1" customWidth="1"/>
    <col min="10" max="10" width="17.7109375" style="1" customWidth="1"/>
    <col min="11" max="12" width="8.85546875" style="1" customWidth="1"/>
    <col min="13" max="17" width="5.42578125" style="1" customWidth="1"/>
    <col min="18" max="18" width="8.85546875" style="1"/>
    <col min="19" max="19" width="5.5703125" style="33" hidden="1" customWidth="1"/>
    <col min="20" max="20" width="27.7109375" style="33" hidden="1" customWidth="1"/>
    <col min="21" max="21" width="6.7109375" style="33" hidden="1" customWidth="1"/>
    <col min="22" max="22" width="5.5703125" style="33" hidden="1" customWidth="1"/>
    <col min="23" max="23" width="5.7109375" style="33" hidden="1" customWidth="1"/>
    <col min="24" max="24" width="5.28515625" style="33" hidden="1" customWidth="1"/>
    <col min="25" max="25" width="5.7109375" style="33" hidden="1" customWidth="1"/>
    <col min="26" max="27" width="5.5703125" style="33" hidden="1" customWidth="1"/>
    <col min="28" max="28" width="8.85546875" style="1" hidden="1" customWidth="1"/>
    <col min="29" max="16384" width="8.85546875" style="1"/>
  </cols>
  <sheetData>
    <row r="1" spans="2:28" ht="15.6" customHeight="1"/>
    <row r="2" spans="2:28" ht="15.6" customHeight="1" thickBot="1">
      <c r="B2" s="83" t="s">
        <v>56</v>
      </c>
      <c r="C2" s="114" t="s">
        <v>57</v>
      </c>
      <c r="D2" s="124" t="s">
        <v>100</v>
      </c>
      <c r="E2" s="125"/>
      <c r="F2" s="126"/>
      <c r="G2" s="83" t="s">
        <v>57</v>
      </c>
    </row>
    <row r="3" spans="2:28" ht="15.6" customHeight="1" thickBot="1">
      <c r="B3" s="157" t="s">
        <v>1</v>
      </c>
      <c r="C3" s="34" t="str">
        <f>Fixtures!D3</f>
        <v>Chris Short</v>
      </c>
      <c r="D3" s="6">
        <f>Fixtures!E3</f>
        <v>5</v>
      </c>
      <c r="E3" s="6" t="str">
        <f>Fixtures!F3</f>
        <v>vs</v>
      </c>
      <c r="F3" s="6">
        <f>Fixtures!G3</f>
        <v>0</v>
      </c>
      <c r="G3" s="35" t="str">
        <f>Fixtures!H3</f>
        <v>Darren Barnes</v>
      </c>
      <c r="I3" s="136" t="s">
        <v>101</v>
      </c>
      <c r="J3" s="137"/>
      <c r="K3" s="137"/>
      <c r="L3" s="137"/>
      <c r="M3" s="137"/>
      <c r="N3" s="137"/>
      <c r="O3" s="137"/>
      <c r="P3" s="137"/>
      <c r="Q3" s="138"/>
      <c r="S3" s="133" t="s">
        <v>102</v>
      </c>
      <c r="T3" s="134"/>
      <c r="U3" s="134"/>
      <c r="V3" s="134"/>
      <c r="W3" s="134"/>
      <c r="X3" s="134"/>
      <c r="Y3" s="134"/>
      <c r="Z3" s="134"/>
      <c r="AA3" s="135"/>
      <c r="AB3" s="36"/>
    </row>
    <row r="4" spans="2:28" ht="15.6" customHeight="1" thickBot="1">
      <c r="B4" s="158"/>
      <c r="C4" s="37" t="str">
        <f>Fixtures!D25</f>
        <v>Stuart Briffett</v>
      </c>
      <c r="D4" s="13">
        <f>Fixtures!E25</f>
        <v>1</v>
      </c>
      <c r="E4" s="13" t="str">
        <f>Fixtures!F25</f>
        <v>vs</v>
      </c>
      <c r="F4" s="13">
        <f>Fixtures!G25</f>
        <v>3</v>
      </c>
      <c r="G4" s="38" t="str">
        <f>Fixtures!H25</f>
        <v>Darren Barnes</v>
      </c>
      <c r="I4" s="84" t="s">
        <v>103</v>
      </c>
      <c r="J4" s="85" t="s">
        <v>104</v>
      </c>
      <c r="K4" s="85" t="s">
        <v>105</v>
      </c>
      <c r="L4" s="85" t="s">
        <v>106</v>
      </c>
      <c r="M4" s="85" t="s">
        <v>107</v>
      </c>
      <c r="N4" s="85" t="s">
        <v>4</v>
      </c>
      <c r="O4" s="85" t="s">
        <v>108</v>
      </c>
      <c r="P4" s="85" t="s">
        <v>109</v>
      </c>
      <c r="Q4" s="86" t="s">
        <v>110</v>
      </c>
      <c r="S4" s="39" t="s">
        <v>103</v>
      </c>
      <c r="T4" s="40" t="s">
        <v>104</v>
      </c>
      <c r="U4" s="40" t="s">
        <v>105</v>
      </c>
      <c r="V4" s="40" t="s">
        <v>106</v>
      </c>
      <c r="W4" s="40" t="s">
        <v>107</v>
      </c>
      <c r="X4" s="40" t="s">
        <v>4</v>
      </c>
      <c r="Y4" s="40" t="s">
        <v>108</v>
      </c>
      <c r="Z4" s="40" t="s">
        <v>109</v>
      </c>
      <c r="AA4" s="41" t="s">
        <v>110</v>
      </c>
      <c r="AB4" s="36" t="s">
        <v>111</v>
      </c>
    </row>
    <row r="5" spans="2:28" ht="15.6" customHeight="1">
      <c r="B5" s="158"/>
      <c r="C5" s="37" t="str">
        <f>Fixtures!D49</f>
        <v>Chris Short</v>
      </c>
      <c r="D5" s="13">
        <f>Fixtures!E49</f>
        <v>5</v>
      </c>
      <c r="E5" s="13" t="str">
        <f>Fixtures!F49</f>
        <v>vs</v>
      </c>
      <c r="F5" s="13">
        <f>Fixtures!G49</f>
        <v>0</v>
      </c>
      <c r="G5" s="38" t="str">
        <f>Fixtures!H49</f>
        <v>Stuart Briffett</v>
      </c>
      <c r="I5" s="42">
        <v>1</v>
      </c>
      <c r="J5" s="43" t="str" cm="1">
        <f t="array" ref="J5">INDEX($T$5:$T$7,MATCH(LARGE($AB$5:$AB$7-ROW($AB$5:$AB$7)/COUNT($AB$5:$AB$7),ROW(J5)-ROW(J$5)+1),$AB$5:$AB$7-ROW($AB$5:$AB$7)/COUNT($AB$5:$AB$7),0))</f>
        <v>Chris Short</v>
      </c>
      <c r="K5" s="43">
        <f>VLOOKUP($J5,$T$5:$AA$7,2,0)</f>
        <v>6</v>
      </c>
      <c r="L5" s="43">
        <f>VLOOKUP($J5,$T$5:$AA$7,3,0)</f>
        <v>10</v>
      </c>
      <c r="M5" s="43">
        <f>VLOOKUP($J5,$T$5:$AA$7,4,0)</f>
        <v>2</v>
      </c>
      <c r="N5" s="43">
        <f>VLOOKUP($J5,$T$5:$AA$7,5,0)</f>
        <v>0</v>
      </c>
      <c r="O5" s="43">
        <f>VLOOKUP($J5,$T$5:$AA$7,6,0)</f>
        <v>0</v>
      </c>
      <c r="P5" s="43">
        <f>VLOOKUP($J5,$T$5:$AA$7,7,0)</f>
        <v>10</v>
      </c>
      <c r="Q5" s="44">
        <f>VLOOKUP($J5,$T$5:$AA$7,8,0)</f>
        <v>0</v>
      </c>
      <c r="S5" s="45">
        <v>1</v>
      </c>
      <c r="T5" s="46" t="str">
        <f>GroupDraw!B4</f>
        <v>Chris Short</v>
      </c>
      <c r="U5" s="46">
        <f>W5*3+X5</f>
        <v>6</v>
      </c>
      <c r="V5" s="46">
        <f>Z5-AA5</f>
        <v>10</v>
      </c>
      <c r="W5" s="46" cm="1">
        <f t="array" ref="W5">SUM((OpenHome=T5)*(OpenHomeScore&gt;OpenAwayScore),(OpenAway=T5)*(OpenAwayScore&gt;OpenHomeScore))</f>
        <v>2</v>
      </c>
      <c r="X5" s="46" cm="1">
        <f t="array" ref="X5">SUM((OpenHome=T5)*(OpenHomeScore=OpenAwayScore)*ISNUMBER(OpenAwayScore),(OpenAway=T5)*(OpenAwayScore=OpenHomeScore)*ISNUMBER(OpenHomeScore))</f>
        <v>0</v>
      </c>
      <c r="Y5" s="46" cm="1">
        <f t="array" ref="Y5">SUM((OpenHome=T5)*(OpenHomeScore&lt;OpenAwayScore),(OpenAway=T5)*(OpenAwayScore&lt;OpenHomeScore))</f>
        <v>0</v>
      </c>
      <c r="Z5" s="46">
        <f>SUMIF(OpenHome,T5,OpenHomeScore)+SUMIF(OpenAway,T5,OpenAwayScore)</f>
        <v>10</v>
      </c>
      <c r="AA5" s="47">
        <f>SUMIF(OpenHome,T5,OpenAwayScore)+SUMIF(OpenAway,T5,OpenHomeScore)</f>
        <v>0</v>
      </c>
      <c r="AB5" s="36">
        <f>Z5+V5*10000+U5*100000000</f>
        <v>600100010</v>
      </c>
    </row>
    <row r="6" spans="2:28" ht="15.6" customHeight="1">
      <c r="B6" s="158"/>
      <c r="C6" s="151"/>
      <c r="D6" s="152"/>
      <c r="E6" s="152"/>
      <c r="F6" s="152"/>
      <c r="G6" s="153"/>
      <c r="I6" s="48">
        <v>2</v>
      </c>
      <c r="J6" s="49" t="str" cm="1">
        <f t="array" ref="J6">INDEX($T$5:$T$7,MATCH(LARGE($AB$5:$AB$7-ROW($AB$5:$AB$7)/COUNT($AB$5:$AB$7),ROW(J6)-ROW(J$5)+1),$AB$5:$AB$7-ROW($AB$5:$AB$7)/COUNT($AB$5:$AB$7),0))</f>
        <v>Darren Barnes</v>
      </c>
      <c r="K6" s="49">
        <f>VLOOKUP($J6,$T$5:$AA$7,2,0)</f>
        <v>3</v>
      </c>
      <c r="L6" s="49">
        <f>VLOOKUP($J6,$T$5:$AA$7,3,0)</f>
        <v>-3</v>
      </c>
      <c r="M6" s="49">
        <f>VLOOKUP($J6,$T$5:$AA$7,4,0)</f>
        <v>1</v>
      </c>
      <c r="N6" s="49">
        <f>VLOOKUP($J6,$T$5:$AA$7,5,0)</f>
        <v>0</v>
      </c>
      <c r="O6" s="49">
        <f>VLOOKUP($J6,$T$5:$AA$7,6,0)</f>
        <v>1</v>
      </c>
      <c r="P6" s="49">
        <f>VLOOKUP($J6,$T$5:$AA$7,7,0)</f>
        <v>3</v>
      </c>
      <c r="Q6" s="50">
        <f>VLOOKUP($J6,$T$5:$AA$7,8,0)</f>
        <v>6</v>
      </c>
      <c r="S6" s="51">
        <v>2</v>
      </c>
      <c r="T6" s="52" t="str">
        <f>GroupDraw!B5</f>
        <v>Stuart Briffett</v>
      </c>
      <c r="U6" s="52">
        <f>W6*3+X6</f>
        <v>0</v>
      </c>
      <c r="V6" s="52">
        <f>Z6-AA6</f>
        <v>-7</v>
      </c>
      <c r="W6" s="52" cm="1">
        <f t="array" ref="W6">SUM((OpenHome=T6)*(OpenHomeScore&gt;OpenAwayScore),(OpenAway=T6)*(OpenAwayScore&gt;OpenHomeScore))</f>
        <v>0</v>
      </c>
      <c r="X6" s="52" cm="1">
        <f t="array" ref="X6">SUM((OpenHome=T6)*(OpenHomeScore=OpenAwayScore)*ISNUMBER(OpenAwayScore),(OpenAway=T6)*(OpenAwayScore=OpenHomeScore)*ISNUMBER(OpenHomeScore))</f>
        <v>0</v>
      </c>
      <c r="Y6" s="52" cm="1">
        <f t="array" ref="Y6">SUM((OpenHome=T6)*(OpenHomeScore&lt;OpenAwayScore),(OpenAway=T6)*(OpenAwayScore&lt;OpenHomeScore))</f>
        <v>2</v>
      </c>
      <c r="Z6" s="52">
        <f>SUMIF(OpenHome,T6,OpenHomeScore)+SUMIF(OpenAway,T6,OpenAwayScore)</f>
        <v>1</v>
      </c>
      <c r="AA6" s="53">
        <f>SUMIF(OpenHome,T6,OpenAwayScore)+SUMIF(OpenAway,T6,OpenHomeScore)</f>
        <v>8</v>
      </c>
      <c r="AB6" s="36">
        <f>Z6+V6*10000+U6*100000000</f>
        <v>-69999</v>
      </c>
    </row>
    <row r="7" spans="2:28" ht="15.6" customHeight="1" thickBot="1">
      <c r="B7" s="158"/>
      <c r="C7" s="154"/>
      <c r="D7" s="155"/>
      <c r="E7" s="155"/>
      <c r="F7" s="155"/>
      <c r="G7" s="156"/>
      <c r="I7" s="48">
        <v>3</v>
      </c>
      <c r="J7" s="49" t="str" cm="1">
        <f t="array" ref="J7">INDEX($T$5:$T$7,MATCH(LARGE($AB$5:$AB$7-ROW($AB$5:$AB$7)/COUNT($AB$5:$AB$7),ROW(J7)-ROW(J$5)+1),$AB$5:$AB$7-ROW($AB$5:$AB$7)/COUNT($AB$5:$AB$7),0))</f>
        <v>Stuart Briffett</v>
      </c>
      <c r="K7" s="49">
        <f>VLOOKUP($J7,$T$5:$AA$7,2,0)</f>
        <v>0</v>
      </c>
      <c r="L7" s="49">
        <f>VLOOKUP($J7,$T$5:$AA$7,3,0)</f>
        <v>-7</v>
      </c>
      <c r="M7" s="49">
        <f>VLOOKUP($J7,$T$5:$AA$7,4,0)</f>
        <v>0</v>
      </c>
      <c r="N7" s="49">
        <f>VLOOKUP($J7,$T$5:$AA$7,5,0)</f>
        <v>0</v>
      </c>
      <c r="O7" s="49">
        <f>VLOOKUP($J7,$T$5:$AA$7,6,0)</f>
        <v>2</v>
      </c>
      <c r="P7" s="49">
        <f>VLOOKUP($J7,$T$5:$AA$7,7,0)</f>
        <v>1</v>
      </c>
      <c r="Q7" s="50">
        <f>VLOOKUP($J7,$T$5:$AA$7,8,0)</f>
        <v>8</v>
      </c>
      <c r="S7" s="51">
        <v>3</v>
      </c>
      <c r="T7" s="52" t="str">
        <f>GroupDraw!B6</f>
        <v>Darren Barnes</v>
      </c>
      <c r="U7" s="52">
        <f>W7*3+X7</f>
        <v>3</v>
      </c>
      <c r="V7" s="52">
        <f>Z7-AA7</f>
        <v>-3</v>
      </c>
      <c r="W7" s="52" cm="1">
        <f t="array" ref="W7">SUM((OpenHome=T7)*(OpenHomeScore&gt;OpenAwayScore),(OpenAway=T7)*(OpenAwayScore&gt;OpenHomeScore))</f>
        <v>1</v>
      </c>
      <c r="X7" s="52" cm="1">
        <f t="array" ref="X7">SUM((OpenHome=T7)*(OpenHomeScore=OpenAwayScore)*ISNUMBER(OpenAwayScore),(OpenAway=T7)*(OpenAwayScore=OpenHomeScore)*ISNUMBER(OpenHomeScore))</f>
        <v>0</v>
      </c>
      <c r="Y7" s="52" cm="1">
        <f t="array" ref="Y7">SUM((OpenHome=T7)*(OpenHomeScore&lt;OpenAwayScore),(OpenAway=T7)*(OpenAwayScore&lt;OpenHomeScore))</f>
        <v>1</v>
      </c>
      <c r="Z7" s="52">
        <f>SUMIF(OpenHome,T7,OpenHomeScore)+SUMIF(OpenAway,T7,OpenAwayScore)</f>
        <v>3</v>
      </c>
      <c r="AA7" s="53">
        <f>SUMIF(OpenHome,T7,OpenAwayScore)+SUMIF(OpenAway,T7,OpenHomeScore)</f>
        <v>6</v>
      </c>
      <c r="AB7" s="36">
        <f>Z7+V7*10000+U7*100000000</f>
        <v>299970003</v>
      </c>
    </row>
    <row r="8" spans="2:28" ht="15.6" customHeight="1" thickBot="1">
      <c r="B8" s="139" t="s">
        <v>2</v>
      </c>
      <c r="C8" s="67" t="str">
        <f>Fixtures!D4</f>
        <v>Kevin Cordell</v>
      </c>
      <c r="D8" s="68">
        <f>Fixtures!E4</f>
        <v>5</v>
      </c>
      <c r="E8" s="68" t="str">
        <f>Fixtures!F4</f>
        <v>vs</v>
      </c>
      <c r="F8" s="68">
        <f>Fixtures!G4</f>
        <v>0</v>
      </c>
      <c r="G8" s="69" t="str">
        <f>Fixtures!H4</f>
        <v>Nigel Morgan</v>
      </c>
      <c r="I8" s="136" t="s">
        <v>112</v>
      </c>
      <c r="J8" s="137"/>
      <c r="K8" s="137"/>
      <c r="L8" s="137"/>
      <c r="M8" s="137"/>
      <c r="N8" s="137"/>
      <c r="O8" s="137"/>
      <c r="P8" s="137"/>
      <c r="Q8" s="138"/>
      <c r="S8" s="133" t="s">
        <v>113</v>
      </c>
      <c r="T8" s="134"/>
      <c r="U8" s="134"/>
      <c r="V8" s="134"/>
      <c r="W8" s="134"/>
      <c r="X8" s="134"/>
      <c r="Y8" s="134"/>
      <c r="Z8" s="134"/>
      <c r="AA8" s="135"/>
      <c r="AB8" s="36"/>
    </row>
    <row r="9" spans="2:28" ht="15.6" customHeight="1" thickBot="1">
      <c r="B9" s="140"/>
      <c r="C9" s="60" t="str">
        <f>Fixtures!D26</f>
        <v>Jason Christopher</v>
      </c>
      <c r="D9" s="20">
        <f>Fixtures!E26</f>
        <v>4</v>
      </c>
      <c r="E9" s="20" t="str">
        <f>Fixtures!F26</f>
        <v>vs</v>
      </c>
      <c r="F9" s="20">
        <f>Fixtures!G26</f>
        <v>1</v>
      </c>
      <c r="G9" s="61" t="str">
        <f>Fixtures!H26</f>
        <v>Nigel Morgan</v>
      </c>
      <c r="I9" s="84" t="s">
        <v>103</v>
      </c>
      <c r="J9" s="85" t="s">
        <v>104</v>
      </c>
      <c r="K9" s="85" t="s">
        <v>105</v>
      </c>
      <c r="L9" s="85" t="s">
        <v>106</v>
      </c>
      <c r="M9" s="85" t="s">
        <v>107</v>
      </c>
      <c r="N9" s="85" t="s">
        <v>4</v>
      </c>
      <c r="O9" s="85" t="s">
        <v>108</v>
      </c>
      <c r="P9" s="85" t="s">
        <v>109</v>
      </c>
      <c r="Q9" s="86" t="s">
        <v>110</v>
      </c>
      <c r="S9" s="39" t="s">
        <v>103</v>
      </c>
      <c r="T9" s="40" t="s">
        <v>104</v>
      </c>
      <c r="U9" s="40" t="s">
        <v>105</v>
      </c>
      <c r="V9" s="40" t="s">
        <v>106</v>
      </c>
      <c r="W9" s="40" t="s">
        <v>107</v>
      </c>
      <c r="X9" s="40" t="s">
        <v>4</v>
      </c>
      <c r="Y9" s="40" t="s">
        <v>108</v>
      </c>
      <c r="Z9" s="40" t="s">
        <v>109</v>
      </c>
      <c r="AA9" s="41" t="s">
        <v>110</v>
      </c>
      <c r="AB9" s="36" t="s">
        <v>111</v>
      </c>
    </row>
    <row r="10" spans="2:28" ht="15.6" customHeight="1">
      <c r="B10" s="140"/>
      <c r="C10" s="60" t="str">
        <f>Fixtures!D50</f>
        <v>Kevin Cordell</v>
      </c>
      <c r="D10" s="20">
        <f>Fixtures!E50</f>
        <v>5</v>
      </c>
      <c r="E10" s="20" t="str">
        <f>Fixtures!F50</f>
        <v>vs</v>
      </c>
      <c r="F10" s="20">
        <f>Fixtures!G50</f>
        <v>0</v>
      </c>
      <c r="G10" s="61" t="str">
        <f>Fixtures!H50</f>
        <v>Jason Christopher</v>
      </c>
      <c r="I10" s="42">
        <v>1</v>
      </c>
      <c r="J10" s="43" t="str" cm="1">
        <f t="array" ref="J10">INDEX($T$10:$T$12,MATCH(LARGE($AB$10:$AB$12-ROW($AB$10:$AB$12)/COUNT($AB$10:$AB$12),ROW(J10)-ROW(J$10)+1),$AB$10:$AB$12-ROW($AB$10:$AB$12)/COUNT($AB$10:$AB$12),0))</f>
        <v>Kevin Cordell</v>
      </c>
      <c r="K10" s="43">
        <f>VLOOKUP($J10,$T$10:$AA$12,2,0)</f>
        <v>6</v>
      </c>
      <c r="L10" s="43">
        <f>VLOOKUP($J10,$T$10:$AA$12,3,0)</f>
        <v>10</v>
      </c>
      <c r="M10" s="43">
        <f>VLOOKUP($J10,$T$10:$AA$12,4,0)</f>
        <v>2</v>
      </c>
      <c r="N10" s="43">
        <f>VLOOKUP($J10,$T$10:$AA$12,5,0)</f>
        <v>0</v>
      </c>
      <c r="O10" s="43">
        <f>VLOOKUP($J10,$T$10:$AA$12,6,0)</f>
        <v>0</v>
      </c>
      <c r="P10" s="43">
        <f>VLOOKUP($J10,$T$10:$AA$12,7,0)</f>
        <v>10</v>
      </c>
      <c r="Q10" s="44">
        <f>VLOOKUP($J10,$T$10:$AA$12,8,0)</f>
        <v>0</v>
      </c>
      <c r="S10" s="45">
        <v>1</v>
      </c>
      <c r="T10" s="46" t="str">
        <f>GroupDraw!C4</f>
        <v>Kevin Cordell</v>
      </c>
      <c r="U10" s="46">
        <f>W10*3+X10</f>
        <v>6</v>
      </c>
      <c r="V10" s="46">
        <f>Z10-AA10</f>
        <v>10</v>
      </c>
      <c r="W10" s="46" cm="1">
        <f t="array" ref="W10">SUM((OpenHome=T10)*(OpenHomeScore&gt;OpenAwayScore),(OpenAway=T10)*(OpenAwayScore&gt;OpenHomeScore))</f>
        <v>2</v>
      </c>
      <c r="X10" s="46" cm="1">
        <f t="array" ref="X10">SUM((OpenHome=T10)*(OpenHomeScore=OpenAwayScore)*ISNUMBER(OpenAwayScore),(OpenAway=T10)*(OpenAwayScore=OpenHomeScore)*ISNUMBER(OpenHomeScore))</f>
        <v>0</v>
      </c>
      <c r="Y10" s="46" cm="1">
        <f t="array" ref="Y10">SUM((OpenHome=T10)*(OpenHomeScore&lt;OpenAwayScore),(OpenAway=T10)*(OpenAwayScore&lt;OpenHomeScore))</f>
        <v>0</v>
      </c>
      <c r="Z10" s="46">
        <f>SUMIF(OpenHome,T10,OpenHomeScore)+SUMIF(OpenAway,T10,OpenAwayScore)</f>
        <v>10</v>
      </c>
      <c r="AA10" s="47">
        <f>SUMIF(OpenHome,T10,OpenAwayScore)+SUMIF(OpenAway,T10,OpenHomeScore)</f>
        <v>0</v>
      </c>
      <c r="AB10" s="36">
        <f>Z10+V10*10000+U10*100000000</f>
        <v>600100010</v>
      </c>
    </row>
    <row r="11" spans="2:28" ht="15.6" customHeight="1">
      <c r="B11" s="140"/>
      <c r="C11" s="145"/>
      <c r="D11" s="146"/>
      <c r="E11" s="146"/>
      <c r="F11" s="146"/>
      <c r="G11" s="147"/>
      <c r="I11" s="48">
        <v>2</v>
      </c>
      <c r="J11" s="49" t="str" cm="1">
        <f t="array" ref="J11">INDEX($T$10:$T$12,MATCH(LARGE($AB$10:$AB$12-ROW($AB$10:$AB$12)/COUNT($AB$10:$AB$12),ROW(J11)-ROW(J$10)+1),$AB$10:$AB$12-ROW($AB$10:$AB$12)/COUNT($AB$10:$AB$12),0))</f>
        <v>Jason Christopher</v>
      </c>
      <c r="K11" s="49">
        <f>VLOOKUP($J11,$T$10:$AA$12,2,0)</f>
        <v>3</v>
      </c>
      <c r="L11" s="49">
        <f>VLOOKUP($J11,$T$10:$AA$12,3,0)</f>
        <v>-2</v>
      </c>
      <c r="M11" s="49">
        <f>VLOOKUP($J11,$T$10:$AA$12,4,0)</f>
        <v>1</v>
      </c>
      <c r="N11" s="49">
        <f>VLOOKUP($J11,$T$10:$AA$12,5,0)</f>
        <v>0</v>
      </c>
      <c r="O11" s="49">
        <f>VLOOKUP($J11,$T$10:$AA$12,6,0)</f>
        <v>1</v>
      </c>
      <c r="P11" s="49">
        <f>VLOOKUP($J11,$T$10:$AA$12,7,0)</f>
        <v>4</v>
      </c>
      <c r="Q11" s="50">
        <f>VLOOKUP($J11,$T$10:$AA$12,8,0)</f>
        <v>6</v>
      </c>
      <c r="S11" s="51">
        <v>2</v>
      </c>
      <c r="T11" s="52" t="str">
        <f>GroupDraw!C5</f>
        <v>Jason Christopher</v>
      </c>
      <c r="U11" s="52">
        <f>W11*3+X11</f>
        <v>3</v>
      </c>
      <c r="V11" s="52">
        <f>Z11-AA11</f>
        <v>-2</v>
      </c>
      <c r="W11" s="52" cm="1">
        <f t="array" ref="W11">SUM((OpenHome=T11)*(OpenHomeScore&gt;OpenAwayScore),(OpenAway=T11)*(OpenAwayScore&gt;OpenHomeScore))</f>
        <v>1</v>
      </c>
      <c r="X11" s="52" cm="1">
        <f t="array" ref="X11">SUM((OpenHome=T11)*(OpenHomeScore=OpenAwayScore)*ISNUMBER(OpenAwayScore),(OpenAway=T11)*(OpenAwayScore=OpenHomeScore)*ISNUMBER(OpenHomeScore))</f>
        <v>0</v>
      </c>
      <c r="Y11" s="52" cm="1">
        <f t="array" ref="Y11">SUM((OpenHome=T11)*(OpenHomeScore&lt;OpenAwayScore),(OpenAway=T11)*(OpenAwayScore&lt;OpenHomeScore))</f>
        <v>1</v>
      </c>
      <c r="Z11" s="52">
        <f>SUMIF(OpenHome,T11,OpenHomeScore)+SUMIF(OpenAway,T11,OpenAwayScore)</f>
        <v>4</v>
      </c>
      <c r="AA11" s="53">
        <f>SUMIF(OpenHome,T11,OpenAwayScore)+SUMIF(OpenAway,T11,OpenHomeScore)</f>
        <v>6</v>
      </c>
      <c r="AB11" s="36">
        <f>Z11+V11*10000+U11*100000000</f>
        <v>299980004</v>
      </c>
    </row>
    <row r="12" spans="2:28" ht="15.6" customHeight="1" thickBot="1">
      <c r="B12" s="140"/>
      <c r="C12" s="148"/>
      <c r="D12" s="149"/>
      <c r="E12" s="149"/>
      <c r="F12" s="149"/>
      <c r="G12" s="150"/>
      <c r="I12" s="48">
        <v>3</v>
      </c>
      <c r="J12" s="49" t="str" cm="1">
        <f t="array" ref="J12">INDEX($T$10:$T$12,MATCH(LARGE($AB$10:$AB$12-ROW($AB$10:$AB$12)/COUNT($AB$10:$AB$12),ROW(J12)-ROW(J$10)+1),$AB$10:$AB$12-ROW($AB$10:$AB$12)/COUNT($AB$10:$AB$12),0))</f>
        <v>Nigel Morgan</v>
      </c>
      <c r="K12" s="49">
        <f>VLOOKUP($J12,$T$10:$AA$12,2,0)</f>
        <v>0</v>
      </c>
      <c r="L12" s="49">
        <f>VLOOKUP($J12,$T$10:$AA$12,3,0)</f>
        <v>-8</v>
      </c>
      <c r="M12" s="49">
        <f>VLOOKUP($J12,$T$10:$AA$12,4,0)</f>
        <v>0</v>
      </c>
      <c r="N12" s="49">
        <f>VLOOKUP($J12,$T$10:$AA$12,5,0)</f>
        <v>0</v>
      </c>
      <c r="O12" s="49">
        <f>VLOOKUP($J12,$T$10:$AA$12,6,0)</f>
        <v>2</v>
      </c>
      <c r="P12" s="49">
        <f>VLOOKUP($J12,$T$10:$AA$12,7,0)</f>
        <v>1</v>
      </c>
      <c r="Q12" s="50">
        <f>VLOOKUP($J12,$T$10:$AA$12,8,0)</f>
        <v>9</v>
      </c>
      <c r="S12" s="51">
        <v>3</v>
      </c>
      <c r="T12" s="52" t="str">
        <f>GroupDraw!C6</f>
        <v>Nigel Morgan</v>
      </c>
      <c r="U12" s="52">
        <f>W12*3+X12</f>
        <v>0</v>
      </c>
      <c r="V12" s="52">
        <f>Z12-AA12</f>
        <v>-8</v>
      </c>
      <c r="W12" s="52" cm="1">
        <f t="array" ref="W12">SUM((OpenHome=T12)*(OpenHomeScore&gt;OpenAwayScore),(OpenAway=T12)*(OpenAwayScore&gt;OpenHomeScore))</f>
        <v>0</v>
      </c>
      <c r="X12" s="52" cm="1">
        <f t="array" ref="X12">SUM((OpenHome=T12)*(OpenHomeScore=OpenAwayScore)*ISNUMBER(OpenAwayScore),(OpenAway=T12)*(OpenAwayScore=OpenHomeScore)*ISNUMBER(OpenHomeScore))</f>
        <v>0</v>
      </c>
      <c r="Y12" s="52" cm="1">
        <f t="array" ref="Y12">SUM((OpenHome=T12)*(OpenHomeScore&lt;OpenAwayScore),(OpenAway=T12)*(OpenAwayScore&lt;OpenHomeScore))</f>
        <v>2</v>
      </c>
      <c r="Z12" s="52">
        <f>SUMIF(OpenHome,T12,OpenHomeScore)+SUMIF(OpenAway,T12,OpenAwayScore)</f>
        <v>1</v>
      </c>
      <c r="AA12" s="53">
        <f>SUMIF(OpenHome,T12,OpenAwayScore)+SUMIF(OpenAway,T12,OpenHomeScore)</f>
        <v>9</v>
      </c>
      <c r="AB12" s="36">
        <f>Z12+V12*10000+U12*100000000</f>
        <v>-79999</v>
      </c>
    </row>
    <row r="13" spans="2:28" ht="15.6" customHeight="1" thickBot="1">
      <c r="B13" s="157" t="s">
        <v>3</v>
      </c>
      <c r="C13" s="34" t="str">
        <f>Fixtures!D5</f>
        <v>Rudi Peters</v>
      </c>
      <c r="D13" s="6">
        <f>Fixtures!E5</f>
        <v>5</v>
      </c>
      <c r="E13" s="6" t="str">
        <f>Fixtures!F5</f>
        <v>vs</v>
      </c>
      <c r="F13" s="6">
        <f>Fixtures!G5</f>
        <v>0</v>
      </c>
      <c r="G13" s="35" t="str">
        <f>Fixtures!H5</f>
        <v>BYE</v>
      </c>
      <c r="I13" s="136" t="s">
        <v>114</v>
      </c>
      <c r="J13" s="137"/>
      <c r="K13" s="137"/>
      <c r="L13" s="137"/>
      <c r="M13" s="137"/>
      <c r="N13" s="137"/>
      <c r="O13" s="137"/>
      <c r="P13" s="137"/>
      <c r="Q13" s="138"/>
      <c r="S13" s="133" t="s">
        <v>115</v>
      </c>
      <c r="T13" s="134"/>
      <c r="U13" s="134"/>
      <c r="V13" s="134"/>
      <c r="W13" s="134"/>
      <c r="X13" s="134"/>
      <c r="Y13" s="134"/>
      <c r="Z13" s="134"/>
      <c r="AA13" s="135"/>
      <c r="AB13" s="36"/>
    </row>
    <row r="14" spans="2:28" ht="15.6" customHeight="1" thickBot="1">
      <c r="B14" s="158"/>
      <c r="C14" s="37" t="str">
        <f>Fixtures!D6</f>
        <v>Terry Arnold</v>
      </c>
      <c r="D14" s="13">
        <f>Fixtures!E6</f>
        <v>2</v>
      </c>
      <c r="E14" s="13" t="str">
        <f>Fixtures!F6</f>
        <v>vs</v>
      </c>
      <c r="F14" s="13">
        <f>Fixtures!G6</f>
        <v>2</v>
      </c>
      <c r="G14" s="38" t="str">
        <f>Fixtures!H6</f>
        <v>Adam Wells</v>
      </c>
      <c r="I14" s="84" t="s">
        <v>103</v>
      </c>
      <c r="J14" s="85" t="s">
        <v>104</v>
      </c>
      <c r="K14" s="85" t="s">
        <v>105</v>
      </c>
      <c r="L14" s="85" t="s">
        <v>106</v>
      </c>
      <c r="M14" s="85" t="s">
        <v>107</v>
      </c>
      <c r="N14" s="85" t="s">
        <v>4</v>
      </c>
      <c r="O14" s="85" t="s">
        <v>108</v>
      </c>
      <c r="P14" s="85" t="s">
        <v>109</v>
      </c>
      <c r="Q14" s="86" t="s">
        <v>110</v>
      </c>
      <c r="S14" s="39" t="s">
        <v>103</v>
      </c>
      <c r="T14" s="40" t="s">
        <v>104</v>
      </c>
      <c r="U14" s="40" t="s">
        <v>105</v>
      </c>
      <c r="V14" s="40" t="s">
        <v>106</v>
      </c>
      <c r="W14" s="40" t="s">
        <v>107</v>
      </c>
      <c r="X14" s="40" t="s">
        <v>4</v>
      </c>
      <c r="Y14" s="40" t="s">
        <v>108</v>
      </c>
      <c r="Z14" s="40" t="s">
        <v>109</v>
      </c>
      <c r="AA14" s="41" t="s">
        <v>110</v>
      </c>
      <c r="AB14" s="36" t="s">
        <v>111</v>
      </c>
    </row>
    <row r="15" spans="2:28" ht="15.6" customHeight="1">
      <c r="B15" s="158"/>
      <c r="C15" s="37" t="str">
        <f>Fixtures!D27</f>
        <v>Rudi Peters</v>
      </c>
      <c r="D15" s="13">
        <f>Fixtures!E27</f>
        <v>4</v>
      </c>
      <c r="E15" s="13" t="str">
        <f>Fixtures!F27</f>
        <v>vs</v>
      </c>
      <c r="F15" s="13">
        <f>Fixtures!G27</f>
        <v>2</v>
      </c>
      <c r="G15" s="38" t="str">
        <f>Fixtures!H27</f>
        <v>Adam Wells</v>
      </c>
      <c r="I15" s="42">
        <v>1</v>
      </c>
      <c r="J15" s="43" t="str" cm="1">
        <f t="array" ref="J15">INDEX($T$15:$T$18,MATCH(LARGE($AB$15:$AB$18-ROW($AB$15:$AB$18)/COUNT($AB$15:$AB$18),ROW(J15)-ROW(J$15)+1),$AB$15:$AB$18-ROW($AB$15:$AB$18)/COUNT($AB$15:$AB$18),0))</f>
        <v>Rudi Peters</v>
      </c>
      <c r="K15" s="43">
        <f>VLOOKUP($J15,$T$15:$AA$18,2,0)</f>
        <v>9</v>
      </c>
      <c r="L15" s="43">
        <f>VLOOKUP($J15,$T$15:$AA$18,3,0)</f>
        <v>11</v>
      </c>
      <c r="M15" s="43">
        <f>VLOOKUP($J15,$T$15:$AA$18,4,0)</f>
        <v>3</v>
      </c>
      <c r="N15" s="43">
        <f>VLOOKUP($J15,$T$15:$AA$18,5,0)</f>
        <v>0</v>
      </c>
      <c r="O15" s="43">
        <f>VLOOKUP($J15,$T$15:$AA$18,6,0)</f>
        <v>0</v>
      </c>
      <c r="P15" s="43">
        <f>VLOOKUP($J15,$T$15:$AA$18,7,0)</f>
        <v>13</v>
      </c>
      <c r="Q15" s="44">
        <f>VLOOKUP($J15,$T$15:$AA$18,8,0)</f>
        <v>2</v>
      </c>
      <c r="S15" s="45">
        <v>1</v>
      </c>
      <c r="T15" s="46" t="str">
        <f>GroupDraw!D4</f>
        <v>Rudi Peters</v>
      </c>
      <c r="U15" s="46">
        <f>W15*3+X15</f>
        <v>9</v>
      </c>
      <c r="V15" s="46">
        <f>Z15-AA15</f>
        <v>11</v>
      </c>
      <c r="W15" s="46" cm="1">
        <f t="array" ref="W15">SUM((OpenHome=T15)*(OpenHomeScore&gt;OpenAwayScore),(OpenAway=T15)*(OpenAwayScore&gt;OpenHomeScore))</f>
        <v>3</v>
      </c>
      <c r="X15" s="46" cm="1">
        <f t="array" ref="X15">SUM((OpenHome=T15)*(OpenHomeScore=OpenAwayScore)*ISNUMBER(OpenAwayScore),(OpenAway=T15)*(OpenAwayScore=OpenHomeScore)*ISNUMBER(OpenHomeScore))</f>
        <v>0</v>
      </c>
      <c r="Y15" s="46" cm="1">
        <f t="array" ref="Y15">SUM((OpenHome=T15)*(OpenHomeScore&lt;OpenAwayScore),(OpenAway=T15)*(OpenAwayScore&lt;OpenHomeScore))</f>
        <v>0</v>
      </c>
      <c r="Z15" s="46">
        <f>SUMIF(OpenHome,T15,OpenHomeScore)+SUMIF(OpenAway,T15,OpenAwayScore)</f>
        <v>13</v>
      </c>
      <c r="AA15" s="47">
        <f>SUMIF(OpenHome,T15,OpenAwayScore)+SUMIF(OpenAway,T15,OpenHomeScore)</f>
        <v>2</v>
      </c>
      <c r="AB15" s="36">
        <f>Z15+V15*10000+U15*100000000</f>
        <v>900110013</v>
      </c>
    </row>
    <row r="16" spans="2:28" ht="15.6" customHeight="1">
      <c r="B16" s="158"/>
      <c r="C16" s="37" t="str">
        <f>Fixtures!D28</f>
        <v>Terry Arnold</v>
      </c>
      <c r="D16" s="13">
        <f>Fixtures!E28</f>
        <v>5</v>
      </c>
      <c r="E16" s="13" t="str">
        <f>Fixtures!F28</f>
        <v>vs</v>
      </c>
      <c r="F16" s="13">
        <f>Fixtures!G28</f>
        <v>0</v>
      </c>
      <c r="G16" s="38" t="str">
        <f>Fixtures!H28</f>
        <v>BYE</v>
      </c>
      <c r="I16" s="48">
        <v>2</v>
      </c>
      <c r="J16" s="49" t="str" cm="1">
        <f t="array" ref="J16">INDEX($T$15:$T$18,MATCH(LARGE($AB$15:$AB$18-ROW($AB$15:$AB$18)/COUNT($AB$15:$AB$18),ROW(J16)-ROW(J$15)+1),$AB$15:$AB$18-ROW($AB$15:$AB$18)/COUNT($AB$15:$AB$18),0))</f>
        <v>Adam Wells</v>
      </c>
      <c r="K16" s="49">
        <f>VLOOKUP($J16,$T$15:$AA$18,2,0)</f>
        <v>4</v>
      </c>
      <c r="L16" s="49">
        <f>VLOOKUP($J16,$T$15:$AA$18,3,0)</f>
        <v>3</v>
      </c>
      <c r="M16" s="49">
        <f>VLOOKUP($J16,$T$15:$AA$18,4,0)</f>
        <v>1</v>
      </c>
      <c r="N16" s="49">
        <f>VLOOKUP($J16,$T$15:$AA$18,5,0)</f>
        <v>1</v>
      </c>
      <c r="O16" s="49">
        <f>VLOOKUP($J16,$T$15:$AA$18,6,0)</f>
        <v>1</v>
      </c>
      <c r="P16" s="49">
        <f>VLOOKUP($J16,$T$15:$AA$18,7,0)</f>
        <v>9</v>
      </c>
      <c r="Q16" s="50">
        <f>VLOOKUP($J16,$T$15:$AA$18,8,0)</f>
        <v>6</v>
      </c>
      <c r="S16" s="51">
        <v>2</v>
      </c>
      <c r="T16" s="52" t="str">
        <f>GroupDraw!D5</f>
        <v>Terry Arnold</v>
      </c>
      <c r="U16" s="52">
        <f>W16*3+X16</f>
        <v>4</v>
      </c>
      <c r="V16" s="52">
        <f>Z16-AA16</f>
        <v>1</v>
      </c>
      <c r="W16" s="52" cm="1">
        <f t="array" ref="W16">SUM((OpenHome=T16)*(OpenHomeScore&gt;OpenAwayScore),(OpenAway=T16)*(OpenAwayScore&gt;OpenHomeScore))</f>
        <v>1</v>
      </c>
      <c r="X16" s="52" cm="1">
        <f t="array" ref="X16">SUM((OpenHome=T16)*(OpenHomeScore=OpenAwayScore)*ISNUMBER(OpenAwayScore),(OpenAway=T16)*(OpenAwayScore=OpenHomeScore)*ISNUMBER(OpenHomeScore))</f>
        <v>1</v>
      </c>
      <c r="Y16" s="52" cm="1">
        <f t="array" ref="Y16">SUM((OpenHome=T16)*(OpenHomeScore&lt;OpenAwayScore),(OpenAway=T16)*(OpenAwayScore&lt;OpenHomeScore))</f>
        <v>1</v>
      </c>
      <c r="Z16" s="52">
        <f>SUMIF(OpenHome,T16,OpenHomeScore)+SUMIF(OpenAway,T16,OpenAwayScore)</f>
        <v>7</v>
      </c>
      <c r="AA16" s="53">
        <f>SUMIF(OpenHome,T16,OpenAwayScore)+SUMIF(OpenAway,T16,OpenHomeScore)</f>
        <v>6</v>
      </c>
      <c r="AB16" s="36">
        <f>Z16+V16*10000+U16*100000000</f>
        <v>400010007</v>
      </c>
    </row>
    <row r="17" spans="2:28" ht="15.6" customHeight="1">
      <c r="B17" s="158"/>
      <c r="C17" s="37" t="str">
        <f>Fixtures!D51</f>
        <v>Rudi Peters</v>
      </c>
      <c r="D17" s="13">
        <f>Fixtures!E51</f>
        <v>4</v>
      </c>
      <c r="E17" s="13" t="str">
        <f>Fixtures!F51</f>
        <v>vs</v>
      </c>
      <c r="F17" s="13">
        <f>Fixtures!G51</f>
        <v>0</v>
      </c>
      <c r="G17" s="38" t="str">
        <f>Fixtures!H51</f>
        <v>Terry Arnold</v>
      </c>
      <c r="I17" s="48">
        <v>3</v>
      </c>
      <c r="J17" s="49" t="str" cm="1">
        <f t="array" ref="J17">INDEX($T$15:$T$18,MATCH(LARGE($AB$15:$AB$18-ROW($AB$15:$AB$18)/COUNT($AB$15:$AB$18),ROW(J17)-ROW(J$15)+1),$AB$15:$AB$18-ROW($AB$15:$AB$18)/COUNT($AB$15:$AB$18),0))</f>
        <v>Terry Arnold</v>
      </c>
      <c r="K17" s="49">
        <f>VLOOKUP($J17,$T$15:$AA$18,2,0)</f>
        <v>4</v>
      </c>
      <c r="L17" s="49">
        <f>VLOOKUP($J17,$T$15:$AA$18,3,0)</f>
        <v>1</v>
      </c>
      <c r="M17" s="49">
        <f>VLOOKUP($J17,$T$15:$AA$18,4,0)</f>
        <v>1</v>
      </c>
      <c r="N17" s="49">
        <f>VLOOKUP($J17,$T$15:$AA$18,5,0)</f>
        <v>1</v>
      </c>
      <c r="O17" s="49">
        <f>VLOOKUP($J17,$T$15:$AA$18,6,0)</f>
        <v>1</v>
      </c>
      <c r="P17" s="49">
        <f>VLOOKUP($J17,$T$15:$AA$18,7,0)</f>
        <v>7</v>
      </c>
      <c r="Q17" s="50">
        <f>VLOOKUP($J17,$T$15:$AA$18,8,0)</f>
        <v>6</v>
      </c>
      <c r="S17" s="51">
        <v>3</v>
      </c>
      <c r="T17" s="52" t="str">
        <f>GroupDraw!D6</f>
        <v>Adam Wells</v>
      </c>
      <c r="U17" s="52">
        <f>W17*3+X17</f>
        <v>4</v>
      </c>
      <c r="V17" s="52">
        <f>Z17-AA17</f>
        <v>3</v>
      </c>
      <c r="W17" s="52" cm="1">
        <f t="array" ref="W17">SUM((OpenHome=T17)*(OpenHomeScore&gt;OpenAwayScore),(OpenAway=T17)*(OpenAwayScore&gt;OpenHomeScore))</f>
        <v>1</v>
      </c>
      <c r="X17" s="52" cm="1">
        <f t="array" ref="X17">SUM((OpenHome=T17)*(OpenHomeScore=OpenAwayScore)*ISNUMBER(OpenAwayScore),(OpenAway=T17)*(OpenAwayScore=OpenHomeScore)*ISNUMBER(OpenHomeScore))</f>
        <v>1</v>
      </c>
      <c r="Y17" s="52" cm="1">
        <f t="array" ref="Y17">SUM((OpenHome=T17)*(OpenHomeScore&lt;OpenAwayScore),(OpenAway=T17)*(OpenAwayScore&lt;OpenHomeScore))</f>
        <v>1</v>
      </c>
      <c r="Z17" s="52">
        <f>SUMIF(OpenHome,T17,OpenHomeScore)+SUMIF(OpenAway,T17,OpenAwayScore)</f>
        <v>9</v>
      </c>
      <c r="AA17" s="53">
        <f>SUMIF(OpenHome,T17,OpenAwayScore)+SUMIF(OpenAway,T17,OpenHomeScore)</f>
        <v>6</v>
      </c>
      <c r="AB17" s="36">
        <f>Z17+V17*10000+U17*100000000</f>
        <v>400030009</v>
      </c>
    </row>
    <row r="18" spans="2:28" ht="15.6" customHeight="1" thickBot="1">
      <c r="B18" s="159"/>
      <c r="C18" s="65" t="str">
        <f>Fixtures!D52</f>
        <v>Adam Wells</v>
      </c>
      <c r="D18" s="32">
        <f>Fixtures!E52</f>
        <v>5</v>
      </c>
      <c r="E18" s="32" t="str">
        <f>Fixtures!F52</f>
        <v>vs</v>
      </c>
      <c r="F18" s="32">
        <f>Fixtures!G52</f>
        <v>0</v>
      </c>
      <c r="G18" s="66" t="str">
        <f>Fixtures!H52</f>
        <v>BYE</v>
      </c>
      <c r="I18" s="54">
        <v>4</v>
      </c>
      <c r="J18" s="55" t="str" cm="1">
        <f t="array" ref="J18">INDEX($T$15:$T$18,MATCH(LARGE($AB$15:$AB$18-ROW($AB$15:$AB$18)/COUNT($AB$15:$AB$18),ROW(J18)-ROW(J$15)+1),$AB$15:$AB$18-ROW($AB$15:$AB$18)/COUNT($AB$15:$AB$18),0))</f>
        <v>BYE</v>
      </c>
      <c r="K18" s="55">
        <f>VLOOKUP($J18,$T$15:$AA$18,2,0)</f>
        <v>0</v>
      </c>
      <c r="L18" s="55">
        <f>VLOOKUP($J18,$T$15:$AA$18,3,0)</f>
        <v>-15</v>
      </c>
      <c r="M18" s="55">
        <f>VLOOKUP($J18,$T$15:$AA$18,4,0)</f>
        <v>0</v>
      </c>
      <c r="N18" s="55">
        <f>VLOOKUP($J18,$T$15:$AA$18,5,0)</f>
        <v>0</v>
      </c>
      <c r="O18" s="55">
        <f>VLOOKUP($J18,$T$15:$AA$18,6,0)</f>
        <v>3</v>
      </c>
      <c r="P18" s="55">
        <f>VLOOKUP($J18,$T$15:$AA$18,7,0)</f>
        <v>0</v>
      </c>
      <c r="Q18" s="56">
        <f>VLOOKUP($J18,$T$15:$AA$18,8,0)</f>
        <v>15</v>
      </c>
      <c r="S18" s="57">
        <v>4</v>
      </c>
      <c r="T18" s="58" t="str">
        <f>GroupDraw!D7</f>
        <v>BYE</v>
      </c>
      <c r="U18" s="58">
        <f>W18*3+X18</f>
        <v>0</v>
      </c>
      <c r="V18" s="58">
        <f>Z18-AA18</f>
        <v>-15</v>
      </c>
      <c r="W18" s="58" cm="1">
        <f t="array" ref="W18">SUM((OpenHome=T18)*(OpenHomeScore&gt;OpenAwayScore),(OpenAway=T18)*(OpenAwayScore&gt;OpenHomeScore))</f>
        <v>0</v>
      </c>
      <c r="X18" s="58" cm="1">
        <f t="array" ref="X18">SUM((OpenHome=T18)*(OpenHomeScore=OpenAwayScore)*ISNUMBER(OpenAwayScore),(OpenAway=T18)*(OpenAwayScore=OpenHomeScore)*ISNUMBER(OpenHomeScore))</f>
        <v>0</v>
      </c>
      <c r="Y18" s="58" cm="1">
        <f t="array" ref="Y18">SUM((OpenHome=T18)*(OpenHomeScore&lt;OpenAwayScore),(OpenAway=T18)*(OpenAwayScore&lt;OpenHomeScore))</f>
        <v>3</v>
      </c>
      <c r="Z18" s="58">
        <f>SUMIF(OpenHome,T18,OpenHomeScore)+SUMIF(OpenAway,T18,OpenAwayScore)</f>
        <v>0</v>
      </c>
      <c r="AA18" s="59">
        <f>SUMIF(OpenHome,T18,OpenAwayScore)+SUMIF(OpenAway,T18,OpenHomeScore)</f>
        <v>15</v>
      </c>
      <c r="AB18" s="36">
        <f>Z18+V18*10000+U18*100000000</f>
        <v>-150000</v>
      </c>
    </row>
    <row r="19" spans="2:28" ht="15.6" customHeight="1" thickBot="1">
      <c r="B19" s="139" t="s">
        <v>4</v>
      </c>
      <c r="C19" s="67" t="str">
        <f>Fixtures!D7</f>
        <v>Mick Hammonds</v>
      </c>
      <c r="D19" s="68">
        <f>Fixtures!E7</f>
        <v>5</v>
      </c>
      <c r="E19" s="68" t="str">
        <f>Fixtures!F7</f>
        <v>vs</v>
      </c>
      <c r="F19" s="68">
        <f>Fixtures!G7</f>
        <v>0</v>
      </c>
      <c r="G19" s="69" t="str">
        <f>Fixtures!H7</f>
        <v>Andy McGovern</v>
      </c>
      <c r="I19" s="136" t="s">
        <v>116</v>
      </c>
      <c r="J19" s="137"/>
      <c r="K19" s="137"/>
      <c r="L19" s="137"/>
      <c r="M19" s="137"/>
      <c r="N19" s="137"/>
      <c r="O19" s="137"/>
      <c r="P19" s="137"/>
      <c r="Q19" s="138"/>
      <c r="S19" s="133" t="s">
        <v>117</v>
      </c>
      <c r="T19" s="134"/>
      <c r="U19" s="134"/>
      <c r="V19" s="134"/>
      <c r="W19" s="134"/>
      <c r="X19" s="134"/>
      <c r="Y19" s="134"/>
      <c r="Z19" s="134"/>
      <c r="AA19" s="135"/>
      <c r="AB19" s="62"/>
    </row>
    <row r="20" spans="2:28" ht="15.6" customHeight="1" thickBot="1">
      <c r="B20" s="140"/>
      <c r="C20" s="60" t="str">
        <f>Fixtures!D8</f>
        <v>Rob Paterson</v>
      </c>
      <c r="D20" s="20">
        <f>Fixtures!E8</f>
        <v>0</v>
      </c>
      <c r="E20" s="20" t="str">
        <f>Fixtures!F8</f>
        <v>vs</v>
      </c>
      <c r="F20" s="20">
        <f>Fixtures!G8</f>
        <v>1</v>
      </c>
      <c r="G20" s="61" t="str">
        <f>Fixtures!H8</f>
        <v>Gage Badger</v>
      </c>
      <c r="I20" s="84" t="s">
        <v>103</v>
      </c>
      <c r="J20" s="85" t="s">
        <v>104</v>
      </c>
      <c r="K20" s="85" t="s">
        <v>105</v>
      </c>
      <c r="L20" s="85" t="s">
        <v>106</v>
      </c>
      <c r="M20" s="85" t="s">
        <v>107</v>
      </c>
      <c r="N20" s="85" t="s">
        <v>4</v>
      </c>
      <c r="O20" s="85" t="s">
        <v>108</v>
      </c>
      <c r="P20" s="85" t="s">
        <v>109</v>
      </c>
      <c r="Q20" s="86" t="s">
        <v>110</v>
      </c>
      <c r="R20" s="36"/>
      <c r="S20" s="39" t="s">
        <v>103</v>
      </c>
      <c r="T20" s="40" t="s">
        <v>104</v>
      </c>
      <c r="U20" s="40" t="s">
        <v>105</v>
      </c>
      <c r="V20" s="40" t="s">
        <v>106</v>
      </c>
      <c r="W20" s="40" t="s">
        <v>107</v>
      </c>
      <c r="X20" s="40" t="s">
        <v>4</v>
      </c>
      <c r="Y20" s="40" t="s">
        <v>108</v>
      </c>
      <c r="Z20" s="40" t="s">
        <v>109</v>
      </c>
      <c r="AA20" s="41" t="s">
        <v>110</v>
      </c>
      <c r="AB20" s="36" t="s">
        <v>111</v>
      </c>
    </row>
    <row r="21" spans="2:28" ht="15.6" customHeight="1">
      <c r="B21" s="140"/>
      <c r="C21" s="60" t="str">
        <f>Fixtures!D31</f>
        <v>Mick Hammonds</v>
      </c>
      <c r="D21" s="20">
        <f>Fixtures!E31</f>
        <v>2</v>
      </c>
      <c r="E21" s="20" t="str">
        <f>Fixtures!F31</f>
        <v>vs</v>
      </c>
      <c r="F21" s="20">
        <f>Fixtures!G31</f>
        <v>1</v>
      </c>
      <c r="G21" s="61" t="str">
        <f>Fixtures!H31</f>
        <v>Gage Badger</v>
      </c>
      <c r="I21" s="42">
        <v>1</v>
      </c>
      <c r="J21" s="43" t="str" cm="1">
        <f t="array" ref="J21">INDEX($T$21:$T$24,MATCH(LARGE($AB$21:$AB$24-ROW($AB$21:$AB$24)/COUNT($AB$21:$AB$24),ROW(J21)-ROW(J$21)+1),$AB$21:$AB$24-ROW($AB$21:$AB$24)/COUNT($AB$21:$AB$24),0))</f>
        <v>Mick Hammonds</v>
      </c>
      <c r="K21" s="43">
        <f>VLOOKUP($J21,$T$21:$AA$24,2,0)</f>
        <v>9</v>
      </c>
      <c r="L21" s="43">
        <f>VLOOKUP($J21,$T$21:$AA$24,3,0)</f>
        <v>7</v>
      </c>
      <c r="M21" s="43">
        <f>VLOOKUP($J21,$T$21:$AA$24,4,0)</f>
        <v>3</v>
      </c>
      <c r="N21" s="43">
        <f>VLOOKUP($J21,$T$21:$AA$24,5,0)</f>
        <v>0</v>
      </c>
      <c r="O21" s="43">
        <f>VLOOKUP($J21,$T$21:$AA$24,6,0)</f>
        <v>0</v>
      </c>
      <c r="P21" s="43">
        <f>VLOOKUP($J21,$T$21:$AA$24,7,0)</f>
        <v>9</v>
      </c>
      <c r="Q21" s="44">
        <f>VLOOKUP($J21,$T$21:$AA$24,8,0)</f>
        <v>2</v>
      </c>
      <c r="S21" s="45">
        <v>1</v>
      </c>
      <c r="T21" s="46" t="str">
        <f>GroupDraw!E4</f>
        <v>Mick Hammonds</v>
      </c>
      <c r="U21" s="46">
        <f>W21*3+X21</f>
        <v>9</v>
      </c>
      <c r="V21" s="46">
        <f>Z21-AA21</f>
        <v>7</v>
      </c>
      <c r="W21" s="46" cm="1">
        <f t="array" ref="W21">SUM((OpenHome=T21)*(OpenHomeScore&gt;OpenAwayScore),(OpenAway=T21)*(OpenAwayScore&gt;OpenHomeScore))</f>
        <v>3</v>
      </c>
      <c r="X21" s="46" cm="1">
        <f t="array" ref="X21">SUM((OpenHome=T21)*(OpenHomeScore=OpenAwayScore)*ISNUMBER(OpenAwayScore),(OpenAway=T21)*(OpenAwayScore=OpenHomeScore)*ISNUMBER(OpenHomeScore))</f>
        <v>0</v>
      </c>
      <c r="Y21" s="46" cm="1">
        <f t="array" ref="Y21">SUM((OpenHome=T21)*(OpenHomeScore&lt;OpenAwayScore),(OpenAway=T21)*(OpenAwayScore&lt;OpenHomeScore))</f>
        <v>0</v>
      </c>
      <c r="Z21" s="46">
        <f>SUMIF(OpenHome,T21,OpenHomeScore)+SUMIF(OpenAway,T21,OpenAwayScore)</f>
        <v>9</v>
      </c>
      <c r="AA21" s="47">
        <f>SUMIF(OpenHome,T21,OpenAwayScore)+SUMIF(OpenAway,T21,OpenHomeScore)</f>
        <v>2</v>
      </c>
      <c r="AB21" s="36">
        <f>Z21+V21*10000+U21*100000000</f>
        <v>900070009</v>
      </c>
    </row>
    <row r="22" spans="2:28" ht="15.6" customHeight="1">
      <c r="B22" s="140"/>
      <c r="C22" s="60" t="str">
        <f>Fixtures!D32</f>
        <v>Rob Paterson</v>
      </c>
      <c r="D22" s="20">
        <f>Fixtures!E32</f>
        <v>0</v>
      </c>
      <c r="E22" s="20" t="str">
        <f>Fixtures!F32</f>
        <v>vs</v>
      </c>
      <c r="F22" s="20">
        <f>Fixtures!G32</f>
        <v>0</v>
      </c>
      <c r="G22" s="61" t="str">
        <f>Fixtures!H32</f>
        <v>Andy McGovern</v>
      </c>
      <c r="I22" s="48">
        <v>2</v>
      </c>
      <c r="J22" s="49" t="str" cm="1">
        <f t="array" ref="J22">INDEX($T$21:$T$24,MATCH(LARGE($AB$21:$AB$24-ROW($AB$21:$AB$24)/COUNT($AB$21:$AB$24),ROW(J22)-ROW(J$21)+1),$AB$21:$AB$24-ROW($AB$21:$AB$24)/COUNT($AB$21:$AB$24),0))</f>
        <v>Gage Badger</v>
      </c>
      <c r="K22" s="49">
        <f>VLOOKUP($J22,$T$21:$AA$24,2,0)</f>
        <v>6</v>
      </c>
      <c r="L22" s="49">
        <f>VLOOKUP($J22,$T$21:$AA$24,3,0)</f>
        <v>5</v>
      </c>
      <c r="M22" s="49">
        <f>VLOOKUP($J22,$T$21:$AA$24,4,0)</f>
        <v>2</v>
      </c>
      <c r="N22" s="49">
        <f>VLOOKUP($J22,$T$21:$AA$24,5,0)</f>
        <v>0</v>
      </c>
      <c r="O22" s="49">
        <f>VLOOKUP($J22,$T$21:$AA$24,6,0)</f>
        <v>1</v>
      </c>
      <c r="P22" s="49">
        <f>VLOOKUP($J22,$T$21:$AA$24,7,0)</f>
        <v>7</v>
      </c>
      <c r="Q22" s="50">
        <f>VLOOKUP($J22,$T$21:$AA$24,8,0)</f>
        <v>2</v>
      </c>
      <c r="S22" s="51">
        <v>2</v>
      </c>
      <c r="T22" s="52" t="str">
        <f>GroupDraw!E5</f>
        <v>Rob Paterson</v>
      </c>
      <c r="U22" s="52">
        <f t="shared" ref="U22:U24" si="0">W22*3+X22</f>
        <v>1</v>
      </c>
      <c r="V22" s="52">
        <f t="shared" ref="V22:V24" si="1">Z22-AA22</f>
        <v>-2</v>
      </c>
      <c r="W22" s="52" cm="1">
        <f t="array" ref="W22">SUM((OpenHome=T22)*(OpenHomeScore&gt;OpenAwayScore),(OpenAway=T22)*(OpenAwayScore&gt;OpenHomeScore))</f>
        <v>0</v>
      </c>
      <c r="X22" s="52" cm="1">
        <f t="array" ref="X22">SUM((OpenHome=T22)*(OpenHomeScore=OpenAwayScore)*ISNUMBER(OpenAwayScore),(OpenAway=T22)*(OpenAwayScore=OpenHomeScore)*ISNUMBER(OpenHomeScore))</f>
        <v>1</v>
      </c>
      <c r="Y22" s="52" cm="1">
        <f t="array" ref="Y22">SUM((OpenHome=T22)*(OpenHomeScore&lt;OpenAwayScore),(OpenAway=T22)*(OpenAwayScore&lt;OpenHomeScore))</f>
        <v>2</v>
      </c>
      <c r="Z22" s="52">
        <f>SUMIF(OpenHome,T22,OpenHomeScore)+SUMIF(OpenAway,T22,OpenAwayScore)</f>
        <v>1</v>
      </c>
      <c r="AA22" s="53">
        <f>SUMIF(OpenHome,T22,OpenAwayScore)+SUMIF(OpenAway,T22,OpenHomeScore)</f>
        <v>3</v>
      </c>
      <c r="AB22" s="36">
        <f t="shared" ref="AB22:AB24" si="2">Z22+V22*10000+U22*100000000</f>
        <v>99980001</v>
      </c>
    </row>
    <row r="23" spans="2:28" ht="15.6" customHeight="1">
      <c r="B23" s="140"/>
      <c r="C23" s="60" t="str">
        <f>Fixtures!D53</f>
        <v>Mick Hammonds</v>
      </c>
      <c r="D23" s="20">
        <f>Fixtures!E53</f>
        <v>2</v>
      </c>
      <c r="E23" s="20" t="str">
        <f>Fixtures!F53</f>
        <v>vs</v>
      </c>
      <c r="F23" s="20">
        <f>Fixtures!G53</f>
        <v>1</v>
      </c>
      <c r="G23" s="61" t="str">
        <f>Fixtures!H53</f>
        <v>Rob Paterson</v>
      </c>
      <c r="I23" s="48">
        <v>3</v>
      </c>
      <c r="J23" s="49" t="str" cm="1">
        <f t="array" ref="J23">INDEX($T$21:$T$24,MATCH(LARGE($AB$21:$AB$24-ROW($AB$21:$AB$24)/COUNT($AB$21:$AB$24),ROW(J23)-ROW(J$21)+1),$AB$21:$AB$24-ROW($AB$21:$AB$24)/COUNT($AB$21:$AB$24),0))</f>
        <v>Rob Paterson</v>
      </c>
      <c r="K23" s="49">
        <f>VLOOKUP($J23,$T$21:$AA$24,2,0)</f>
        <v>1</v>
      </c>
      <c r="L23" s="49">
        <f>VLOOKUP($J23,$T$21:$AA$24,3,0)</f>
        <v>-2</v>
      </c>
      <c r="M23" s="49">
        <f>VLOOKUP($J23,$T$21:$AA$24,4,0)</f>
        <v>0</v>
      </c>
      <c r="N23" s="49">
        <f>VLOOKUP($J23,$T$21:$AA$24,5,0)</f>
        <v>1</v>
      </c>
      <c r="O23" s="49">
        <f>VLOOKUP($J23,$T$21:$AA$24,6,0)</f>
        <v>2</v>
      </c>
      <c r="P23" s="49">
        <f>VLOOKUP($J23,$T$21:$AA$24,7,0)</f>
        <v>1</v>
      </c>
      <c r="Q23" s="50">
        <f>VLOOKUP($J23,$T$21:$AA$24,8,0)</f>
        <v>3</v>
      </c>
      <c r="S23" s="51">
        <v>3</v>
      </c>
      <c r="T23" s="52" t="str">
        <f>GroupDraw!E6</f>
        <v>Gage Badger</v>
      </c>
      <c r="U23" s="52">
        <f t="shared" si="0"/>
        <v>6</v>
      </c>
      <c r="V23" s="52">
        <f t="shared" si="1"/>
        <v>5</v>
      </c>
      <c r="W23" s="52" cm="1">
        <f t="array" ref="W23">SUM((OpenHome=T23)*(OpenHomeScore&gt;OpenAwayScore),(OpenAway=T23)*(OpenAwayScore&gt;OpenHomeScore))</f>
        <v>2</v>
      </c>
      <c r="X23" s="52" cm="1">
        <f t="array" ref="X23">SUM((OpenHome=T23)*(OpenHomeScore=OpenAwayScore)*ISNUMBER(OpenAwayScore),(OpenAway=T23)*(OpenAwayScore=OpenHomeScore)*ISNUMBER(OpenHomeScore))</f>
        <v>0</v>
      </c>
      <c r="Y23" s="52" cm="1">
        <f t="array" ref="Y23">SUM((OpenHome=T23)*(OpenHomeScore&lt;OpenAwayScore),(OpenAway=T23)*(OpenAwayScore&lt;OpenHomeScore))</f>
        <v>1</v>
      </c>
      <c r="Z23" s="52">
        <f>SUMIF(OpenHome,T23,OpenHomeScore)+SUMIF(OpenAway,T23,OpenAwayScore)</f>
        <v>7</v>
      </c>
      <c r="AA23" s="53">
        <f>SUMIF(OpenHome,T23,OpenAwayScore)+SUMIF(OpenAway,T23,OpenHomeScore)</f>
        <v>2</v>
      </c>
      <c r="AB23" s="36">
        <f t="shared" si="2"/>
        <v>600050007</v>
      </c>
    </row>
    <row r="24" spans="2:28" ht="15.6" customHeight="1" thickBot="1">
      <c r="B24" s="141"/>
      <c r="C24" s="63" t="str">
        <f>Fixtures!D54</f>
        <v>Gage Badger</v>
      </c>
      <c r="D24" s="27">
        <f>Fixtures!E54</f>
        <v>5</v>
      </c>
      <c r="E24" s="27" t="str">
        <f>Fixtures!F54</f>
        <v>vs</v>
      </c>
      <c r="F24" s="27">
        <f>Fixtures!G54</f>
        <v>0</v>
      </c>
      <c r="G24" s="64" t="str">
        <f>Fixtures!H54</f>
        <v>Andy McGovern</v>
      </c>
      <c r="I24" s="54">
        <v>4</v>
      </c>
      <c r="J24" s="55" t="str" cm="1">
        <f t="array" ref="J24">INDEX($T$21:$T$24,MATCH(LARGE($AB$21:$AB$24-ROW($AB$21:$AB$24)/COUNT($AB$21:$AB$24),ROW(J24)-ROW(J$21)+1),$AB$21:$AB$24-ROW($AB$21:$AB$24)/COUNT($AB$21:$AB$24),0))</f>
        <v>Andy McGovern</v>
      </c>
      <c r="K24" s="55">
        <f>VLOOKUP($J24,$T$21:$AA$24,2,0)</f>
        <v>1</v>
      </c>
      <c r="L24" s="55">
        <f>VLOOKUP($J24,$T$21:$AA$24,3,0)</f>
        <v>-10</v>
      </c>
      <c r="M24" s="55">
        <f>VLOOKUP($J24,$T$21:$AA$24,4,0)</f>
        <v>0</v>
      </c>
      <c r="N24" s="55">
        <f>VLOOKUP($J24,$T$21:$AA$24,5,0)</f>
        <v>1</v>
      </c>
      <c r="O24" s="55">
        <f>VLOOKUP($J24,$T$21:$AA$24,6,0)</f>
        <v>2</v>
      </c>
      <c r="P24" s="55">
        <f>VLOOKUP($J24,$T$21:$AA$24,7,0)</f>
        <v>0</v>
      </c>
      <c r="Q24" s="56">
        <f>VLOOKUP($J24,$T$21:$AA$24,8,0)</f>
        <v>10</v>
      </c>
      <c r="S24" s="57">
        <v>4</v>
      </c>
      <c r="T24" s="58" t="str">
        <f>GroupDraw!E7</f>
        <v>Andy McGovern</v>
      </c>
      <c r="U24" s="58">
        <f t="shared" si="0"/>
        <v>1</v>
      </c>
      <c r="V24" s="58">
        <f t="shared" si="1"/>
        <v>-10</v>
      </c>
      <c r="W24" s="58" cm="1">
        <f t="array" ref="W24">SUM((OpenHome=T24)*(OpenHomeScore&gt;OpenAwayScore),(OpenAway=T24)*(OpenAwayScore&gt;OpenHomeScore))</f>
        <v>0</v>
      </c>
      <c r="X24" s="58" cm="1">
        <f t="array" ref="X24">SUM((OpenHome=T24)*(OpenHomeScore=OpenAwayScore)*ISNUMBER(OpenAwayScore),(OpenAway=T24)*(OpenAwayScore=OpenHomeScore)*ISNUMBER(OpenHomeScore))</f>
        <v>1</v>
      </c>
      <c r="Y24" s="58" cm="1">
        <f t="array" ref="Y24">SUM((OpenHome=T24)*(OpenHomeScore&lt;OpenAwayScore),(OpenAway=T24)*(OpenAwayScore&lt;OpenHomeScore))</f>
        <v>2</v>
      </c>
      <c r="Z24" s="58">
        <f>SUMIF(OpenHome,T24,OpenHomeScore)+SUMIF(OpenAway,T24,OpenAwayScore)</f>
        <v>0</v>
      </c>
      <c r="AA24" s="59">
        <f>SUMIF(OpenHome,T24,OpenAwayScore)+SUMIF(OpenAway,T24,OpenHomeScore)</f>
        <v>10</v>
      </c>
      <c r="AB24" s="36">
        <f t="shared" si="2"/>
        <v>99900000</v>
      </c>
    </row>
    <row r="25" spans="2:28" ht="15.6" customHeight="1" thickBot="1">
      <c r="B25" s="157" t="s">
        <v>19</v>
      </c>
      <c r="C25" s="34" t="str">
        <f>Fixtures!D9</f>
        <v>Aaron Skinner</v>
      </c>
      <c r="D25" s="6">
        <f>Fixtures!E9</f>
        <v>2</v>
      </c>
      <c r="E25" s="6" t="str">
        <f>Fixtures!F9</f>
        <v>vs</v>
      </c>
      <c r="F25" s="6">
        <f>Fixtures!G9</f>
        <v>2</v>
      </c>
      <c r="G25" s="35" t="str">
        <f>Fixtures!H9</f>
        <v>Justin Scott</v>
      </c>
      <c r="I25" s="136" t="s">
        <v>118</v>
      </c>
      <c r="J25" s="137"/>
      <c r="K25" s="137"/>
      <c r="L25" s="137"/>
      <c r="M25" s="137"/>
      <c r="N25" s="137"/>
      <c r="O25" s="137"/>
      <c r="P25" s="137"/>
      <c r="Q25" s="138"/>
      <c r="S25" s="133" t="s">
        <v>119</v>
      </c>
      <c r="T25" s="134"/>
      <c r="U25" s="134"/>
      <c r="V25" s="134"/>
      <c r="W25" s="134"/>
      <c r="X25" s="134"/>
      <c r="Y25" s="134"/>
      <c r="Z25" s="134"/>
      <c r="AA25" s="135"/>
      <c r="AB25" s="62"/>
    </row>
    <row r="26" spans="2:28" ht="15.6" customHeight="1" thickBot="1">
      <c r="B26" s="158"/>
      <c r="C26" s="37" t="str">
        <f>Fixtures!D10</f>
        <v>Simon Hawley</v>
      </c>
      <c r="D26" s="13">
        <f>Fixtures!E10</f>
        <v>1</v>
      </c>
      <c r="E26" s="13" t="str">
        <f>Fixtures!F10</f>
        <v>vs</v>
      </c>
      <c r="F26" s="13">
        <f>Fixtures!G10</f>
        <v>2</v>
      </c>
      <c r="G26" s="38" t="str">
        <f>Fixtures!H10</f>
        <v>Richard Roper</v>
      </c>
      <c r="I26" s="84" t="s">
        <v>103</v>
      </c>
      <c r="J26" s="85" t="s">
        <v>104</v>
      </c>
      <c r="K26" s="85" t="s">
        <v>105</v>
      </c>
      <c r="L26" s="85" t="s">
        <v>106</v>
      </c>
      <c r="M26" s="85" t="s">
        <v>107</v>
      </c>
      <c r="N26" s="85" t="s">
        <v>4</v>
      </c>
      <c r="O26" s="85" t="s">
        <v>108</v>
      </c>
      <c r="P26" s="85" t="s">
        <v>109</v>
      </c>
      <c r="Q26" s="86" t="s">
        <v>110</v>
      </c>
      <c r="S26" s="39" t="s">
        <v>103</v>
      </c>
      <c r="T26" s="40" t="s">
        <v>104</v>
      </c>
      <c r="U26" s="40" t="s">
        <v>105</v>
      </c>
      <c r="V26" s="40" t="s">
        <v>106</v>
      </c>
      <c r="W26" s="40" t="s">
        <v>107</v>
      </c>
      <c r="X26" s="40" t="s">
        <v>4</v>
      </c>
      <c r="Y26" s="40" t="s">
        <v>108</v>
      </c>
      <c r="Z26" s="40" t="s">
        <v>109</v>
      </c>
      <c r="AA26" s="41" t="s">
        <v>110</v>
      </c>
      <c r="AB26" s="36" t="s">
        <v>111</v>
      </c>
    </row>
    <row r="27" spans="2:28" ht="15.6" customHeight="1">
      <c r="B27" s="158"/>
      <c r="C27" s="37" t="str">
        <f>Fixtures!D33</f>
        <v>Aaron Skinner</v>
      </c>
      <c r="D27" s="13">
        <f>Fixtures!E33</f>
        <v>5</v>
      </c>
      <c r="E27" s="13" t="str">
        <f>Fixtures!F33</f>
        <v>vs</v>
      </c>
      <c r="F27" s="13">
        <f>Fixtures!G33</f>
        <v>1</v>
      </c>
      <c r="G27" s="38" t="str">
        <f>Fixtures!H33</f>
        <v>Richard Roper</v>
      </c>
      <c r="I27" s="42">
        <v>1</v>
      </c>
      <c r="J27" s="43" t="str" cm="1">
        <f t="array" ref="J27">INDEX($T$27:$T$30,MATCH(LARGE($AB$27:$AB$30-ROW($AB$27:$AB$30)/COUNT($AB$27:$AB$30),ROW(J27)-ROW(J$27)+1),$AB$27:$AB$30-ROW($AB$27:$AB$30)/COUNT($AB$27:$AB$30),0))</f>
        <v>Aaron Skinner</v>
      </c>
      <c r="K27" s="43">
        <f>VLOOKUP($J27,$T$27:$AA$30,2,0)</f>
        <v>7</v>
      </c>
      <c r="L27" s="43">
        <f>VLOOKUP($J27,$T$27:$AA$30,3,0)</f>
        <v>9</v>
      </c>
      <c r="M27" s="43">
        <f>VLOOKUP($J27,$T$27:$AA$30,4,0)</f>
        <v>2</v>
      </c>
      <c r="N27" s="43">
        <f>VLOOKUP($J27,$T$27:$AA$30,5,0)</f>
        <v>1</v>
      </c>
      <c r="O27" s="43">
        <f>VLOOKUP($J27,$T$27:$AA$30,6,0)</f>
        <v>0</v>
      </c>
      <c r="P27" s="43">
        <f>VLOOKUP($J27,$T$27:$AA$30,7,0)</f>
        <v>12</v>
      </c>
      <c r="Q27" s="44">
        <f>VLOOKUP($J27,$T$27:$AA$30,8,0)</f>
        <v>3</v>
      </c>
      <c r="R27" s="36"/>
      <c r="S27" s="45">
        <v>1</v>
      </c>
      <c r="T27" s="46" t="str">
        <f>GroupDraw!B9</f>
        <v>Aaron Skinner</v>
      </c>
      <c r="U27" s="46">
        <f>W27*3+X27</f>
        <v>7</v>
      </c>
      <c r="V27" s="46">
        <f>Z27-AA27</f>
        <v>9</v>
      </c>
      <c r="W27" s="46" cm="1">
        <f t="array" ref="W27">SUM((OpenHome=T27)*(OpenHomeScore&gt;OpenAwayScore),(OpenAway=T27)*(OpenAwayScore&gt;OpenHomeScore))</f>
        <v>2</v>
      </c>
      <c r="X27" s="46" cm="1">
        <f t="array" ref="X27">SUM((OpenHome=T27)*(OpenHomeScore=OpenAwayScore)*ISNUMBER(OpenAwayScore),(OpenAway=T27)*(OpenAwayScore=OpenHomeScore)*ISNUMBER(OpenHomeScore))</f>
        <v>1</v>
      </c>
      <c r="Y27" s="46" cm="1">
        <f t="array" ref="Y27">SUM((OpenHome=T27)*(OpenHomeScore&lt;OpenAwayScore),(OpenAway=T27)*(OpenAwayScore&lt;OpenHomeScore))</f>
        <v>0</v>
      </c>
      <c r="Z27" s="46">
        <f>SUMIF(OpenHome,T27,OpenHomeScore)+SUMIF(OpenAway,T27,OpenAwayScore)</f>
        <v>12</v>
      </c>
      <c r="AA27" s="47">
        <f>SUMIF(OpenHome,T27,OpenAwayScore)+SUMIF(OpenAway,T27,OpenHomeScore)</f>
        <v>3</v>
      </c>
      <c r="AB27" s="36">
        <f>Z27+V27*10000+U27*100000000</f>
        <v>700090012</v>
      </c>
    </row>
    <row r="28" spans="2:28" ht="15.6" customHeight="1">
      <c r="B28" s="158"/>
      <c r="C28" s="37" t="str">
        <f>Fixtures!D34</f>
        <v>Simon Hawley</v>
      </c>
      <c r="D28" s="13">
        <f>Fixtures!E34</f>
        <v>1</v>
      </c>
      <c r="E28" s="13" t="str">
        <f>Fixtures!F34</f>
        <v>vs</v>
      </c>
      <c r="F28" s="13">
        <f>Fixtures!G34</f>
        <v>4</v>
      </c>
      <c r="G28" s="38" t="str">
        <f>Fixtures!H34</f>
        <v>Justin Scott</v>
      </c>
      <c r="I28" s="48">
        <v>2</v>
      </c>
      <c r="J28" s="49" t="str" cm="1">
        <f t="array" ref="J28">INDEX($T$27:$T$30,MATCH(LARGE($AB$27:$AB$30-ROW($AB$27:$AB$30)/COUNT($AB$27:$AB$30),ROW(J28)-ROW(J$27)+1),$AB$27:$AB$30-ROW($AB$27:$AB$30)/COUNT($AB$27:$AB$30),0))</f>
        <v>Justin Scott</v>
      </c>
      <c r="K28" s="49">
        <f>VLOOKUP($J28,$T$27:$AA$30,2,0)</f>
        <v>7</v>
      </c>
      <c r="L28" s="49">
        <f>VLOOKUP($J28,$T$27:$AA$30,3,0)</f>
        <v>7</v>
      </c>
      <c r="M28" s="49">
        <f>VLOOKUP($J28,$T$27:$AA$30,4,0)</f>
        <v>2</v>
      </c>
      <c r="N28" s="49">
        <f>VLOOKUP($J28,$T$27:$AA$30,5,0)</f>
        <v>1</v>
      </c>
      <c r="O28" s="49">
        <f>VLOOKUP($J28,$T$27:$AA$30,6,0)</f>
        <v>0</v>
      </c>
      <c r="P28" s="49">
        <f>VLOOKUP($J28,$T$27:$AA$30,7,0)</f>
        <v>10</v>
      </c>
      <c r="Q28" s="50">
        <f>VLOOKUP($J28,$T$27:$AA$30,8,0)</f>
        <v>3</v>
      </c>
      <c r="S28" s="51">
        <v>2</v>
      </c>
      <c r="T28" s="52" t="str">
        <f>GroupDraw!B10</f>
        <v>Simon Hawley</v>
      </c>
      <c r="U28" s="52">
        <f t="shared" ref="U28:U30" si="3">W28*3+X28</f>
        <v>0</v>
      </c>
      <c r="V28" s="52">
        <f t="shared" ref="V28:V30" si="4">Z28-AA28</f>
        <v>-9</v>
      </c>
      <c r="W28" s="52" cm="1">
        <f t="array" ref="W28">SUM((OpenHome=T28)*(OpenHomeScore&gt;OpenAwayScore),(OpenAway=T28)*(OpenAwayScore&gt;OpenHomeScore))</f>
        <v>0</v>
      </c>
      <c r="X28" s="52" cm="1">
        <f t="array" ref="X28">SUM((OpenHome=T28)*(OpenHomeScore=OpenAwayScore)*ISNUMBER(OpenAwayScore),(OpenAway=T28)*(OpenAwayScore=OpenHomeScore)*ISNUMBER(OpenHomeScore))</f>
        <v>0</v>
      </c>
      <c r="Y28" s="52" cm="1">
        <f t="array" ref="Y28">SUM((OpenHome=T28)*(OpenHomeScore&lt;OpenAwayScore),(OpenAway=T28)*(OpenAwayScore&lt;OpenHomeScore))</f>
        <v>3</v>
      </c>
      <c r="Z28" s="52">
        <f>SUMIF(OpenHome,T28,OpenHomeScore)+SUMIF(OpenAway,T28,OpenAwayScore)</f>
        <v>2</v>
      </c>
      <c r="AA28" s="53">
        <f>SUMIF(OpenHome,T28,OpenAwayScore)+SUMIF(OpenAway,T28,OpenHomeScore)</f>
        <v>11</v>
      </c>
      <c r="AB28" s="36">
        <f>Z28+V28*10000+U28*100000000</f>
        <v>-89998</v>
      </c>
    </row>
    <row r="29" spans="2:28" ht="15.6" customHeight="1">
      <c r="B29" s="158"/>
      <c r="C29" s="37" t="str">
        <f>Fixtures!D55</f>
        <v>Aaron Skinner</v>
      </c>
      <c r="D29" s="13">
        <f>Fixtures!E55</f>
        <v>5</v>
      </c>
      <c r="E29" s="13" t="str">
        <f>Fixtures!F55</f>
        <v>vs</v>
      </c>
      <c r="F29" s="13">
        <f>Fixtures!G55</f>
        <v>0</v>
      </c>
      <c r="G29" s="38" t="str">
        <f>Fixtures!H55</f>
        <v>Simon Hawley</v>
      </c>
      <c r="I29" s="48">
        <v>3</v>
      </c>
      <c r="J29" s="49" t="str" cm="1">
        <f t="array" ref="J29">INDEX($T$27:$T$30,MATCH(LARGE($AB$27:$AB$30-ROW($AB$27:$AB$30)/COUNT($AB$27:$AB$30),ROW(J29)-ROW(J$27)+1),$AB$27:$AB$30-ROW($AB$27:$AB$30)/COUNT($AB$27:$AB$30),0))</f>
        <v>Richard Roper</v>
      </c>
      <c r="K29" s="49">
        <f>VLOOKUP($J29,$T$27:$AA$30,2,0)</f>
        <v>3</v>
      </c>
      <c r="L29" s="49">
        <f>VLOOKUP($J29,$T$27:$AA$30,3,0)</f>
        <v>-7</v>
      </c>
      <c r="M29" s="49">
        <f>VLOOKUP($J29,$T$27:$AA$30,4,0)</f>
        <v>1</v>
      </c>
      <c r="N29" s="49">
        <f>VLOOKUP($J29,$T$27:$AA$30,5,0)</f>
        <v>0</v>
      </c>
      <c r="O29" s="49">
        <f>VLOOKUP($J29,$T$27:$AA$30,6,0)</f>
        <v>2</v>
      </c>
      <c r="P29" s="49">
        <f>VLOOKUP($J29,$T$27:$AA$30,7,0)</f>
        <v>3</v>
      </c>
      <c r="Q29" s="50">
        <f>VLOOKUP($J29,$T$27:$AA$30,8,0)</f>
        <v>10</v>
      </c>
      <c r="S29" s="51">
        <v>3</v>
      </c>
      <c r="T29" s="52" t="str">
        <f>GroupDraw!B11</f>
        <v>Richard Roper</v>
      </c>
      <c r="U29" s="52">
        <f t="shared" si="3"/>
        <v>3</v>
      </c>
      <c r="V29" s="52">
        <f t="shared" si="4"/>
        <v>-7</v>
      </c>
      <c r="W29" s="52" cm="1">
        <f t="array" ref="W29">SUM((OpenHome=T29)*(OpenHomeScore&gt;OpenAwayScore),(OpenAway=T29)*(OpenAwayScore&gt;OpenHomeScore))</f>
        <v>1</v>
      </c>
      <c r="X29" s="52" cm="1">
        <f t="array" ref="X29">SUM((OpenHome=T29)*(OpenHomeScore=OpenAwayScore)*ISNUMBER(OpenAwayScore),(OpenAway=T29)*(OpenAwayScore=OpenHomeScore)*ISNUMBER(OpenHomeScore))</f>
        <v>0</v>
      </c>
      <c r="Y29" s="52" cm="1">
        <f t="array" ref="Y29">SUM((OpenHome=T29)*(OpenHomeScore&lt;OpenAwayScore),(OpenAway=T29)*(OpenAwayScore&lt;OpenHomeScore))</f>
        <v>2</v>
      </c>
      <c r="Z29" s="52">
        <f>SUMIF(OpenHome,T29,OpenHomeScore)+SUMIF(OpenAway,T29,OpenAwayScore)</f>
        <v>3</v>
      </c>
      <c r="AA29" s="53">
        <f>SUMIF(OpenHome,T29,OpenAwayScore)+SUMIF(OpenAway,T29,OpenHomeScore)</f>
        <v>10</v>
      </c>
      <c r="AB29" s="36">
        <f>Z29+V29*10000+U29*100000000</f>
        <v>299930003</v>
      </c>
    </row>
    <row r="30" spans="2:28" ht="15.6" customHeight="1" thickBot="1">
      <c r="B30" s="159"/>
      <c r="C30" s="65" t="str">
        <f>Fixtures!D56</f>
        <v>Richard Roper</v>
      </c>
      <c r="D30" s="32">
        <f>Fixtures!E56</f>
        <v>0</v>
      </c>
      <c r="E30" s="32" t="str">
        <f>Fixtures!F56</f>
        <v>vs</v>
      </c>
      <c r="F30" s="32">
        <f>Fixtures!G56</f>
        <v>4</v>
      </c>
      <c r="G30" s="66" t="str">
        <f>Fixtures!H56</f>
        <v>Justin Scott</v>
      </c>
      <c r="I30" s="54">
        <v>4</v>
      </c>
      <c r="J30" s="55" t="str" cm="1">
        <f t="array" ref="J30">INDEX($T$27:$T$30,MATCH(LARGE($AB$27:$AB$30-ROW($AB$27:$AB$30)/COUNT($AB$27:$AB$30),ROW(J30)-ROW(J$27)+1),$AB$27:$AB$30-ROW($AB$27:$AB$30)/COUNT($AB$27:$AB$30),0))</f>
        <v>Simon Hawley</v>
      </c>
      <c r="K30" s="55">
        <f>VLOOKUP($J30,$T$27:$AA$30,2,0)</f>
        <v>0</v>
      </c>
      <c r="L30" s="55">
        <f>VLOOKUP($J30,$T$27:$AA$30,3,0)</f>
        <v>-9</v>
      </c>
      <c r="M30" s="55">
        <f>VLOOKUP($J30,$T$27:$AA$30,4,0)</f>
        <v>0</v>
      </c>
      <c r="N30" s="55">
        <f>VLOOKUP($J30,$T$27:$AA$30,5,0)</f>
        <v>0</v>
      </c>
      <c r="O30" s="55">
        <f>VLOOKUP($J30,$T$27:$AA$30,6,0)</f>
        <v>3</v>
      </c>
      <c r="P30" s="55">
        <f>VLOOKUP($J30,$T$27:$AA$30,7,0)</f>
        <v>2</v>
      </c>
      <c r="Q30" s="56">
        <f>VLOOKUP($J30,$T$27:$AA$30,8,0)</f>
        <v>11</v>
      </c>
      <c r="S30" s="57">
        <v>4</v>
      </c>
      <c r="T30" s="58" t="str">
        <f>GroupDraw!B12</f>
        <v>Justin Scott</v>
      </c>
      <c r="U30" s="58">
        <f t="shared" si="3"/>
        <v>7</v>
      </c>
      <c r="V30" s="58">
        <f t="shared" si="4"/>
        <v>7</v>
      </c>
      <c r="W30" s="58" cm="1">
        <f t="array" ref="W30">SUM((OpenHome=T30)*(OpenHomeScore&gt;OpenAwayScore),(OpenAway=T30)*(OpenAwayScore&gt;OpenHomeScore))</f>
        <v>2</v>
      </c>
      <c r="X30" s="58" cm="1">
        <f t="array" ref="X30">SUM((OpenHome=T30)*(OpenHomeScore=OpenAwayScore)*ISNUMBER(OpenAwayScore),(OpenAway=T30)*(OpenAwayScore=OpenHomeScore)*ISNUMBER(OpenHomeScore))</f>
        <v>1</v>
      </c>
      <c r="Y30" s="58" cm="1">
        <f t="array" ref="Y30">SUM((OpenHome=T30)*(OpenHomeScore&lt;OpenAwayScore),(OpenAway=T30)*(OpenAwayScore&lt;OpenHomeScore))</f>
        <v>0</v>
      </c>
      <c r="Z30" s="58">
        <f>SUMIF(OpenHome,T30,OpenHomeScore)+SUMIF(OpenAway,T30,OpenAwayScore)</f>
        <v>10</v>
      </c>
      <c r="AA30" s="59">
        <f>SUMIF(OpenHome,T30,OpenAwayScore)+SUMIF(OpenAway,T30,OpenHomeScore)</f>
        <v>3</v>
      </c>
      <c r="AB30" s="36">
        <f>Z30+V30*10000+U30*100000000</f>
        <v>700070010</v>
      </c>
    </row>
    <row r="31" spans="2:28" ht="15.6" customHeight="1" thickBot="1">
      <c r="B31" s="139" t="s">
        <v>20</v>
      </c>
      <c r="C31" s="67" t="str">
        <f>Fixtures!D11</f>
        <v>Richard Badger</v>
      </c>
      <c r="D31" s="68">
        <f>Fixtures!E11</f>
        <v>2</v>
      </c>
      <c r="E31" s="68" t="str">
        <f>Fixtures!F11</f>
        <v>vs</v>
      </c>
      <c r="F31" s="68">
        <f>Fixtures!G11</f>
        <v>0</v>
      </c>
      <c r="G31" s="69" t="str">
        <f>Fixtures!H11</f>
        <v>Tony Banks</v>
      </c>
      <c r="I31" s="136" t="s">
        <v>120</v>
      </c>
      <c r="J31" s="137"/>
      <c r="K31" s="137"/>
      <c r="L31" s="137"/>
      <c r="M31" s="137"/>
      <c r="N31" s="137"/>
      <c r="O31" s="137"/>
      <c r="P31" s="137"/>
      <c r="Q31" s="138"/>
      <c r="S31" s="133" t="s">
        <v>121</v>
      </c>
      <c r="T31" s="134"/>
      <c r="U31" s="134"/>
      <c r="V31" s="134"/>
      <c r="W31" s="134"/>
      <c r="X31" s="134"/>
      <c r="Y31" s="134"/>
      <c r="Z31" s="134"/>
      <c r="AA31" s="135"/>
      <c r="AB31" s="62"/>
    </row>
    <row r="32" spans="2:28" ht="15.6" customHeight="1" thickBot="1">
      <c r="B32" s="140"/>
      <c r="C32" s="60" t="str">
        <f>Fixtures!D12</f>
        <v>Alex Salter</v>
      </c>
      <c r="D32" s="20">
        <f>Fixtures!E12</f>
        <v>1</v>
      </c>
      <c r="E32" s="20" t="str">
        <f>Fixtures!F12</f>
        <v>vs</v>
      </c>
      <c r="F32" s="20">
        <f>Fixtures!G12</f>
        <v>3</v>
      </c>
      <c r="G32" s="61" t="str">
        <f>Fixtures!H12</f>
        <v>Rob Piggott</v>
      </c>
      <c r="I32" s="84" t="s">
        <v>103</v>
      </c>
      <c r="J32" s="85" t="s">
        <v>104</v>
      </c>
      <c r="K32" s="85" t="s">
        <v>105</v>
      </c>
      <c r="L32" s="85" t="s">
        <v>106</v>
      </c>
      <c r="M32" s="85" t="s">
        <v>107</v>
      </c>
      <c r="N32" s="85" t="s">
        <v>4</v>
      </c>
      <c r="O32" s="85" t="s">
        <v>108</v>
      </c>
      <c r="P32" s="85" t="s">
        <v>109</v>
      </c>
      <c r="Q32" s="86" t="s">
        <v>110</v>
      </c>
      <c r="S32" s="39" t="s">
        <v>103</v>
      </c>
      <c r="T32" s="40" t="s">
        <v>104</v>
      </c>
      <c r="U32" s="40" t="s">
        <v>105</v>
      </c>
      <c r="V32" s="40" t="s">
        <v>106</v>
      </c>
      <c r="W32" s="40" t="s">
        <v>107</v>
      </c>
      <c r="X32" s="40" t="s">
        <v>4</v>
      </c>
      <c r="Y32" s="40" t="s">
        <v>108</v>
      </c>
      <c r="Z32" s="40" t="s">
        <v>109</v>
      </c>
      <c r="AA32" s="41" t="s">
        <v>110</v>
      </c>
      <c r="AB32" s="36" t="s">
        <v>111</v>
      </c>
    </row>
    <row r="33" spans="2:28" ht="15.6" customHeight="1">
      <c r="B33" s="140"/>
      <c r="C33" s="60" t="str">
        <f>Fixtures!D35</f>
        <v>Richard Badger</v>
      </c>
      <c r="D33" s="20">
        <f>Fixtures!E35</f>
        <v>5</v>
      </c>
      <c r="E33" s="20" t="str">
        <f>Fixtures!F35</f>
        <v>vs</v>
      </c>
      <c r="F33" s="20">
        <f>Fixtures!G35</f>
        <v>1</v>
      </c>
      <c r="G33" s="61" t="str">
        <f>Fixtures!H35</f>
        <v>Rob Piggott</v>
      </c>
      <c r="I33" s="42">
        <v>1</v>
      </c>
      <c r="J33" s="43" t="str" cm="1">
        <f t="array" ref="J33">INDEX($T$33:$T$36,MATCH(LARGE($AB$33:$AB$36-ROW($AB$33:$AB$36)/COUNT($AB$33:$AB$36),ROW(J33)-ROW(J$33)+1),$AB$33:$AB$36-ROW($AB$33:$AB$36)/COUNT($AB$33:$AB$36),0))</f>
        <v>Richard Badger</v>
      </c>
      <c r="K33" s="43">
        <f>VLOOKUP($J33,$T$33:$AA$36,2,0)</f>
        <v>9</v>
      </c>
      <c r="L33" s="43">
        <f>VLOOKUP($J33,$T$33:$AA$36,3,0)</f>
        <v>11</v>
      </c>
      <c r="M33" s="43">
        <f>VLOOKUP($J33,$T$33:$AA$36,4,0)</f>
        <v>3</v>
      </c>
      <c r="N33" s="43">
        <f>VLOOKUP($J33,$T$33:$AA$36,5,0)</f>
        <v>0</v>
      </c>
      <c r="O33" s="43">
        <f>VLOOKUP($J33,$T$33:$AA$36,6,0)</f>
        <v>0</v>
      </c>
      <c r="P33" s="43">
        <f>VLOOKUP($J33,$T$33:$AA$36,7,0)</f>
        <v>12</v>
      </c>
      <c r="Q33" s="44">
        <f>VLOOKUP($J33,$T$33:$AA$36,8,0)</f>
        <v>1</v>
      </c>
      <c r="S33" s="45">
        <v>1</v>
      </c>
      <c r="T33" s="46" t="str">
        <f>GroupDraw!C9</f>
        <v>Richard Badger</v>
      </c>
      <c r="U33" s="46">
        <f>W33*3+X33</f>
        <v>9</v>
      </c>
      <c r="V33" s="46">
        <f>Z33-AA33</f>
        <v>11</v>
      </c>
      <c r="W33" s="46" cm="1">
        <f t="array" ref="W33">SUM((OpenHome=T33)*(OpenHomeScore&gt;OpenAwayScore),(OpenAway=T33)*(OpenAwayScore&gt;OpenHomeScore))</f>
        <v>3</v>
      </c>
      <c r="X33" s="46" cm="1">
        <f t="array" ref="X33">SUM((OpenHome=T33)*(OpenHomeScore=OpenAwayScore)*ISNUMBER(OpenAwayScore),(OpenAway=T33)*(OpenAwayScore=OpenHomeScore)*ISNUMBER(OpenHomeScore))</f>
        <v>0</v>
      </c>
      <c r="Y33" s="46" cm="1">
        <f t="array" ref="Y33">SUM((OpenHome=T33)*(OpenHomeScore&lt;OpenAwayScore),(OpenAway=T33)*(OpenAwayScore&lt;OpenHomeScore))</f>
        <v>0</v>
      </c>
      <c r="Z33" s="46">
        <f>SUMIF(OpenHome,T33,OpenHomeScore)+SUMIF(OpenAway,T33,OpenAwayScore)</f>
        <v>12</v>
      </c>
      <c r="AA33" s="47">
        <f>SUMIF(OpenHome,T33,OpenAwayScore)+SUMIF(OpenAway,T33,OpenHomeScore)</f>
        <v>1</v>
      </c>
      <c r="AB33" s="36">
        <f>Z33+V33*10000+U33*100000000</f>
        <v>900110012</v>
      </c>
    </row>
    <row r="34" spans="2:28" ht="15.6" customHeight="1">
      <c r="B34" s="140"/>
      <c r="C34" s="60" t="str">
        <f>Fixtures!D36</f>
        <v>Alex Salter</v>
      </c>
      <c r="D34" s="20">
        <f>Fixtures!E36</f>
        <v>0</v>
      </c>
      <c r="E34" s="20" t="str">
        <f>Fixtures!F36</f>
        <v>vs</v>
      </c>
      <c r="F34" s="20">
        <f>Fixtures!G36</f>
        <v>3</v>
      </c>
      <c r="G34" s="61" t="str">
        <f>Fixtures!H36</f>
        <v>Tony Banks</v>
      </c>
      <c r="I34" s="48">
        <v>2</v>
      </c>
      <c r="J34" s="49" t="str" cm="1">
        <f t="array" ref="J34">INDEX($T$33:$T$36,MATCH(LARGE($AB$33:$AB$36-ROW($AB$33:$AB$36)/COUNT($AB$33:$AB$36),ROW(J34)-ROW(J$33)+1),$AB$33:$AB$36-ROW($AB$33:$AB$36)/COUNT($AB$33:$AB$36),0))</f>
        <v>Tony Banks</v>
      </c>
      <c r="K34" s="49">
        <f>VLOOKUP($J34,$T$33:$AA$36,2,0)</f>
        <v>4</v>
      </c>
      <c r="L34" s="49">
        <f>VLOOKUP($J34,$T$33:$AA$36,3,0)</f>
        <v>1</v>
      </c>
      <c r="M34" s="49">
        <f>VLOOKUP($J34,$T$33:$AA$36,4,0)</f>
        <v>1</v>
      </c>
      <c r="N34" s="49">
        <f>VLOOKUP($J34,$T$33:$AA$36,5,0)</f>
        <v>1</v>
      </c>
      <c r="O34" s="49">
        <f>VLOOKUP($J34,$T$33:$AA$36,6,0)</f>
        <v>1</v>
      </c>
      <c r="P34" s="49">
        <f>VLOOKUP($J34,$T$33:$AA$36,7,0)</f>
        <v>3</v>
      </c>
      <c r="Q34" s="50">
        <f>VLOOKUP($J34,$T$33:$AA$36,8,0)</f>
        <v>2</v>
      </c>
      <c r="R34" s="36"/>
      <c r="S34" s="51">
        <v>2</v>
      </c>
      <c r="T34" s="52" t="str">
        <f>GroupDraw!C10</f>
        <v>Alex Salter</v>
      </c>
      <c r="U34" s="52">
        <f t="shared" ref="U34:U36" si="5">W34*3+X34</f>
        <v>0</v>
      </c>
      <c r="V34" s="52">
        <f t="shared" ref="V34:V36" si="6">Z34-AA34</f>
        <v>-10</v>
      </c>
      <c r="W34" s="52" cm="1">
        <f t="array" ref="W34">SUM((OpenHome=T34)*(OpenHomeScore&gt;OpenAwayScore),(OpenAway=T34)*(OpenAwayScore&gt;OpenHomeScore))</f>
        <v>0</v>
      </c>
      <c r="X34" s="52" cm="1">
        <f t="array" ref="X34">SUM((OpenHome=T34)*(OpenHomeScore=OpenAwayScore)*ISNUMBER(OpenAwayScore),(OpenAway=T34)*(OpenAwayScore=OpenHomeScore)*ISNUMBER(OpenHomeScore))</f>
        <v>0</v>
      </c>
      <c r="Y34" s="52" cm="1">
        <f t="array" ref="Y34">SUM((OpenHome=T34)*(OpenHomeScore&lt;OpenAwayScore),(OpenAway=T34)*(OpenAwayScore&lt;OpenHomeScore))</f>
        <v>3</v>
      </c>
      <c r="Z34" s="52">
        <f>SUMIF(OpenHome,T34,OpenHomeScore)+SUMIF(OpenAway,T34,OpenAwayScore)</f>
        <v>1</v>
      </c>
      <c r="AA34" s="53">
        <f>SUMIF(OpenHome,T34,OpenAwayScore)+SUMIF(OpenAway,T34,OpenHomeScore)</f>
        <v>11</v>
      </c>
      <c r="AB34" s="36">
        <f>Z34+V34*10000+U34*100000000</f>
        <v>-99999</v>
      </c>
    </row>
    <row r="35" spans="2:28" ht="15.6" customHeight="1">
      <c r="B35" s="140"/>
      <c r="C35" s="60" t="str">
        <f>Fixtures!D59</f>
        <v>Richard Badger</v>
      </c>
      <c r="D35" s="20">
        <f>Fixtures!E59</f>
        <v>5</v>
      </c>
      <c r="E35" s="20" t="str">
        <f>Fixtures!F59</f>
        <v>vs</v>
      </c>
      <c r="F35" s="20">
        <f>Fixtures!G59</f>
        <v>0</v>
      </c>
      <c r="G35" s="61" t="str">
        <f>Fixtures!H59</f>
        <v>Alex Salter</v>
      </c>
      <c r="I35" s="48">
        <v>3</v>
      </c>
      <c r="J35" s="49" t="str" cm="1">
        <f t="array" ref="J35">INDEX($T$33:$T$36,MATCH(LARGE($AB$33:$AB$36-ROW($AB$33:$AB$36)/COUNT($AB$33:$AB$36),ROW(J35)-ROW(J$33)+1),$AB$33:$AB$36-ROW($AB$33:$AB$36)/COUNT($AB$33:$AB$36),0))</f>
        <v>Rob Piggott</v>
      </c>
      <c r="K35" s="49">
        <f>VLOOKUP($J35,$T$33:$AA$36,2,0)</f>
        <v>4</v>
      </c>
      <c r="L35" s="49">
        <f>VLOOKUP($J35,$T$33:$AA$36,3,0)</f>
        <v>-2</v>
      </c>
      <c r="M35" s="49">
        <f>VLOOKUP($J35,$T$33:$AA$36,4,0)</f>
        <v>1</v>
      </c>
      <c r="N35" s="49">
        <f>VLOOKUP($J35,$T$33:$AA$36,5,0)</f>
        <v>1</v>
      </c>
      <c r="O35" s="49">
        <f>VLOOKUP($J35,$T$33:$AA$36,6,0)</f>
        <v>1</v>
      </c>
      <c r="P35" s="49">
        <f>VLOOKUP($J35,$T$33:$AA$36,7,0)</f>
        <v>4</v>
      </c>
      <c r="Q35" s="50">
        <f>VLOOKUP($J35,$T$33:$AA$36,8,0)</f>
        <v>6</v>
      </c>
      <c r="S35" s="51">
        <v>3</v>
      </c>
      <c r="T35" s="52" t="str">
        <f>GroupDraw!C11</f>
        <v>Rob Piggott</v>
      </c>
      <c r="U35" s="52">
        <f t="shared" si="5"/>
        <v>4</v>
      </c>
      <c r="V35" s="52">
        <f t="shared" si="6"/>
        <v>-2</v>
      </c>
      <c r="W35" s="52" cm="1">
        <f t="array" ref="W35">SUM((OpenHome=T35)*(OpenHomeScore&gt;OpenAwayScore),(OpenAway=T35)*(OpenAwayScore&gt;OpenHomeScore))</f>
        <v>1</v>
      </c>
      <c r="X35" s="52" cm="1">
        <f t="array" ref="X35">SUM((OpenHome=T35)*(OpenHomeScore=OpenAwayScore)*ISNUMBER(OpenAwayScore),(OpenAway=T35)*(OpenAwayScore=OpenHomeScore)*ISNUMBER(OpenHomeScore))</f>
        <v>1</v>
      </c>
      <c r="Y35" s="52" cm="1">
        <f t="array" ref="Y35">SUM((OpenHome=T35)*(OpenHomeScore&lt;OpenAwayScore),(OpenAway=T35)*(OpenAwayScore&lt;OpenHomeScore))</f>
        <v>1</v>
      </c>
      <c r="Z35" s="52">
        <f>SUMIF(OpenHome,T35,OpenHomeScore)+SUMIF(OpenAway,T35,OpenAwayScore)</f>
        <v>4</v>
      </c>
      <c r="AA35" s="53">
        <f>SUMIF(OpenHome,T35,OpenAwayScore)+SUMIF(OpenAway,T35,OpenHomeScore)</f>
        <v>6</v>
      </c>
      <c r="AB35" s="36">
        <f>Z35+V35*10000+U35*100000000</f>
        <v>399980004</v>
      </c>
    </row>
    <row r="36" spans="2:28" ht="15.6" customHeight="1" thickBot="1">
      <c r="B36" s="141"/>
      <c r="C36" s="63" t="str">
        <f>Fixtures!D60</f>
        <v>Rob Piggott</v>
      </c>
      <c r="D36" s="27">
        <f>Fixtures!E60</f>
        <v>0</v>
      </c>
      <c r="E36" s="27" t="str">
        <f>Fixtures!F60</f>
        <v>vs</v>
      </c>
      <c r="F36" s="27">
        <f>Fixtures!G60</f>
        <v>0</v>
      </c>
      <c r="G36" s="64" t="str">
        <f>Fixtures!H60</f>
        <v>Tony Banks</v>
      </c>
      <c r="I36" s="54">
        <v>4</v>
      </c>
      <c r="J36" s="55" t="str" cm="1">
        <f t="array" ref="J36">INDEX($T$33:$T$36,MATCH(LARGE($AB$33:$AB$36-ROW($AB$33:$AB$36)/COUNT($AB$33:$AB$36),ROW(J36)-ROW(J$33)+1),$AB$33:$AB$36-ROW($AB$33:$AB$36)/COUNT($AB$33:$AB$36),0))</f>
        <v>Alex Salter</v>
      </c>
      <c r="K36" s="55">
        <f>VLOOKUP($J36,$T$33:$AA$36,2,0)</f>
        <v>0</v>
      </c>
      <c r="L36" s="55">
        <f>VLOOKUP($J36,$T$33:$AA$36,3,0)</f>
        <v>-10</v>
      </c>
      <c r="M36" s="55">
        <f>VLOOKUP($J36,$T$33:$AA$36,4,0)</f>
        <v>0</v>
      </c>
      <c r="N36" s="55">
        <f>VLOOKUP($J36,$T$33:$AA$36,5,0)</f>
        <v>0</v>
      </c>
      <c r="O36" s="55">
        <f>VLOOKUP($J36,$T$33:$AA$36,6,0)</f>
        <v>3</v>
      </c>
      <c r="P36" s="55">
        <f>VLOOKUP($J36,$T$33:$AA$36,7,0)</f>
        <v>1</v>
      </c>
      <c r="Q36" s="56">
        <f>VLOOKUP($J36,$T$33:$AA$36,8,0)</f>
        <v>11</v>
      </c>
      <c r="S36" s="57">
        <v>4</v>
      </c>
      <c r="T36" s="58" t="str">
        <f>GroupDraw!C12</f>
        <v>Tony Banks</v>
      </c>
      <c r="U36" s="58">
        <f t="shared" si="5"/>
        <v>4</v>
      </c>
      <c r="V36" s="58">
        <f t="shared" si="6"/>
        <v>1</v>
      </c>
      <c r="W36" s="58" cm="1">
        <f t="array" ref="W36">SUM((OpenHome=T36)*(OpenHomeScore&gt;OpenAwayScore),(OpenAway=T36)*(OpenAwayScore&gt;OpenHomeScore))</f>
        <v>1</v>
      </c>
      <c r="X36" s="58" cm="1">
        <f t="array" ref="X36">SUM((OpenHome=T36)*(OpenHomeScore=OpenAwayScore)*ISNUMBER(OpenAwayScore),(OpenAway=T36)*(OpenAwayScore=OpenHomeScore)*ISNUMBER(OpenHomeScore))</f>
        <v>1</v>
      </c>
      <c r="Y36" s="58" cm="1">
        <f t="array" ref="Y36">SUM((OpenHome=T36)*(OpenHomeScore&lt;OpenAwayScore),(OpenAway=T36)*(OpenAwayScore&lt;OpenHomeScore))</f>
        <v>1</v>
      </c>
      <c r="Z36" s="58">
        <f>SUMIF(OpenHome,T36,OpenHomeScore)+SUMIF(OpenAway,T36,OpenAwayScore)</f>
        <v>3</v>
      </c>
      <c r="AA36" s="59">
        <f>SUMIF(OpenHome,T36,OpenAwayScore)+SUMIF(OpenAway,T36,OpenHomeScore)</f>
        <v>2</v>
      </c>
      <c r="AB36" s="36">
        <f>Z36+V36*10000+U36*100000000</f>
        <v>400010003</v>
      </c>
    </row>
    <row r="37" spans="2:28" ht="15.6" customHeight="1" thickBot="1">
      <c r="B37" s="157" t="s">
        <v>21</v>
      </c>
      <c r="C37" s="34" t="str">
        <f>Fixtures!D13</f>
        <v>Kye Arnold</v>
      </c>
      <c r="D37" s="6">
        <f>Fixtures!E13</f>
        <v>1</v>
      </c>
      <c r="E37" s="6" t="str">
        <f>Fixtures!F13</f>
        <v>vs</v>
      </c>
      <c r="F37" s="6">
        <f>Fixtures!G13</f>
        <v>0</v>
      </c>
      <c r="G37" s="35" t="str">
        <f>Fixtures!H13</f>
        <v>Ian Sharp</v>
      </c>
      <c r="I37" s="136" t="s">
        <v>122</v>
      </c>
      <c r="J37" s="137"/>
      <c r="K37" s="137"/>
      <c r="L37" s="137"/>
      <c r="M37" s="137"/>
      <c r="N37" s="137"/>
      <c r="O37" s="137"/>
      <c r="P37" s="137"/>
      <c r="Q37" s="138"/>
      <c r="S37" s="133" t="s">
        <v>123</v>
      </c>
      <c r="T37" s="134"/>
      <c r="U37" s="134"/>
      <c r="V37" s="134"/>
      <c r="W37" s="134"/>
      <c r="X37" s="134"/>
      <c r="Y37" s="134"/>
      <c r="Z37" s="134"/>
      <c r="AA37" s="135"/>
      <c r="AB37" s="36"/>
    </row>
    <row r="38" spans="2:28" ht="15.6" customHeight="1" thickBot="1">
      <c r="B38" s="158"/>
      <c r="C38" s="37" t="str">
        <f>Fixtures!D14</f>
        <v>Mark Weaver</v>
      </c>
      <c r="D38" s="13">
        <f>Fixtures!E14</f>
        <v>1</v>
      </c>
      <c r="E38" s="13" t="str">
        <f>Fixtures!F14</f>
        <v>vs</v>
      </c>
      <c r="F38" s="13">
        <f>Fixtures!G14</f>
        <v>3</v>
      </c>
      <c r="G38" s="38" t="str">
        <f>Fixtures!H14</f>
        <v>Bob Fairbrother</v>
      </c>
      <c r="I38" s="84" t="s">
        <v>103</v>
      </c>
      <c r="J38" s="85" t="s">
        <v>104</v>
      </c>
      <c r="K38" s="85" t="s">
        <v>105</v>
      </c>
      <c r="L38" s="85" t="s">
        <v>106</v>
      </c>
      <c r="M38" s="85" t="s">
        <v>107</v>
      </c>
      <c r="N38" s="85" t="s">
        <v>4</v>
      </c>
      <c r="O38" s="85" t="s">
        <v>108</v>
      </c>
      <c r="P38" s="85" t="s">
        <v>109</v>
      </c>
      <c r="Q38" s="86" t="s">
        <v>110</v>
      </c>
      <c r="S38" s="39" t="s">
        <v>103</v>
      </c>
      <c r="T38" s="40" t="s">
        <v>104</v>
      </c>
      <c r="U38" s="40" t="s">
        <v>105</v>
      </c>
      <c r="V38" s="40" t="s">
        <v>106</v>
      </c>
      <c r="W38" s="40" t="s">
        <v>107</v>
      </c>
      <c r="X38" s="40" t="s">
        <v>4</v>
      </c>
      <c r="Y38" s="40" t="s">
        <v>108</v>
      </c>
      <c r="Z38" s="40" t="s">
        <v>109</v>
      </c>
      <c r="AA38" s="41" t="s">
        <v>110</v>
      </c>
      <c r="AB38" s="36" t="s">
        <v>111</v>
      </c>
    </row>
    <row r="39" spans="2:28" ht="15.6" customHeight="1">
      <c r="B39" s="158"/>
      <c r="C39" s="37" t="str">
        <f>Fixtures!D37</f>
        <v>Kye Arnold</v>
      </c>
      <c r="D39" s="13">
        <f>Fixtures!E37</f>
        <v>4</v>
      </c>
      <c r="E39" s="13" t="str">
        <f>Fixtures!F37</f>
        <v>vs</v>
      </c>
      <c r="F39" s="13">
        <f>Fixtures!G37</f>
        <v>0</v>
      </c>
      <c r="G39" s="38" t="str">
        <f>Fixtures!H37</f>
        <v>Bob Fairbrother</v>
      </c>
      <c r="I39" s="42">
        <v>1</v>
      </c>
      <c r="J39" s="43" t="str" cm="1">
        <f t="array" ref="J39">INDEX($T$39:$T$42,MATCH(LARGE($AB$39:$AB$42-ROW($AB$39:$AB$42)/COUNT($AB$39:$AB$42),ROW(J39)-ROW(J$39)+1),$AB$39:$AB$42-ROW($AB$39:$AB$42)/COUNT($AB$39:$AB$42),0))</f>
        <v>Kye Arnold</v>
      </c>
      <c r="K39" s="43">
        <f>VLOOKUP($J39,$T$39:$AA$42,2,0)</f>
        <v>9</v>
      </c>
      <c r="L39" s="43">
        <f>VLOOKUP($J39,$T$39:$AA$42,3,0)</f>
        <v>7</v>
      </c>
      <c r="M39" s="43">
        <f>VLOOKUP($J39,$T$39:$AA$42,4,0)</f>
        <v>3</v>
      </c>
      <c r="N39" s="43">
        <f>VLOOKUP($J39,$T$39:$AA$42,5,0)</f>
        <v>0</v>
      </c>
      <c r="O39" s="43">
        <f>VLOOKUP($J39,$T$39:$AA$42,6,0)</f>
        <v>0</v>
      </c>
      <c r="P39" s="43">
        <f>VLOOKUP($J39,$T$39:$AA$42,7,0)</f>
        <v>8</v>
      </c>
      <c r="Q39" s="44">
        <f>VLOOKUP($J39,$T$39:$AA$42,8,0)</f>
        <v>1</v>
      </c>
      <c r="S39" s="45">
        <v>1</v>
      </c>
      <c r="T39" s="46" t="str">
        <f>GroupDraw!D9</f>
        <v>Kye Arnold</v>
      </c>
      <c r="U39" s="46">
        <f>W39*3+X39</f>
        <v>9</v>
      </c>
      <c r="V39" s="46">
        <f>Z39-AA39</f>
        <v>7</v>
      </c>
      <c r="W39" s="46" cm="1">
        <f t="array" ref="W39">SUM((OpenHome=T39)*(OpenHomeScore&gt;OpenAwayScore),(OpenAway=T39)*(OpenAwayScore&gt;OpenHomeScore))</f>
        <v>3</v>
      </c>
      <c r="X39" s="46" cm="1">
        <f t="array" ref="X39">SUM((OpenHome=T39)*(OpenHomeScore=OpenAwayScore)*ISNUMBER(OpenAwayScore),(OpenAway=T39)*(OpenAwayScore=OpenHomeScore)*ISNUMBER(OpenHomeScore))</f>
        <v>0</v>
      </c>
      <c r="Y39" s="46" cm="1">
        <f t="array" ref="Y39">SUM((OpenHome=T39)*(OpenHomeScore&lt;OpenAwayScore),(OpenAway=T39)*(OpenAwayScore&lt;OpenHomeScore))</f>
        <v>0</v>
      </c>
      <c r="Z39" s="46">
        <f>SUMIF(OpenHome,T39,OpenHomeScore)+SUMIF(OpenAway,T39,OpenAwayScore)</f>
        <v>8</v>
      </c>
      <c r="AA39" s="47">
        <f>SUMIF(OpenHome,T39,OpenAwayScore)+SUMIF(OpenAway,T39,OpenHomeScore)</f>
        <v>1</v>
      </c>
      <c r="AB39" s="36">
        <f>Z39+V39*10000+U39*100000000</f>
        <v>900070008</v>
      </c>
    </row>
    <row r="40" spans="2:28" ht="15.6" customHeight="1">
      <c r="B40" s="158"/>
      <c r="C40" s="37" t="str">
        <f>Fixtures!D38</f>
        <v>Mark Weaver</v>
      </c>
      <c r="D40" s="13">
        <f>Fixtures!E38</f>
        <v>0</v>
      </c>
      <c r="E40" s="13" t="str">
        <f>Fixtures!F38</f>
        <v>vs</v>
      </c>
      <c r="F40" s="13">
        <f>Fixtures!G38</f>
        <v>1</v>
      </c>
      <c r="G40" s="38" t="str">
        <f>Fixtures!H38</f>
        <v>Ian Sharp</v>
      </c>
      <c r="I40" s="48">
        <v>2</v>
      </c>
      <c r="J40" s="49" t="str" cm="1">
        <f t="array" ref="J40">INDEX($T$39:$T$42,MATCH(LARGE($AB$39:$AB$42-ROW($AB$39:$AB$42)/COUNT($AB$39:$AB$42),ROW(J40)-ROW(J$39)+1),$AB$39:$AB$42-ROW($AB$39:$AB$42)/COUNT($AB$39:$AB$42),0))</f>
        <v>Ian Sharp</v>
      </c>
      <c r="K40" s="49">
        <f>VLOOKUP($J40,$T$39:$AA$42,2,0)</f>
        <v>4</v>
      </c>
      <c r="L40" s="49">
        <f>VLOOKUP($J40,$T$39:$AA$42,3,0)</f>
        <v>0</v>
      </c>
      <c r="M40" s="49">
        <f>VLOOKUP($J40,$T$39:$AA$42,4,0)</f>
        <v>1</v>
      </c>
      <c r="N40" s="49">
        <f>VLOOKUP($J40,$T$39:$AA$42,5,0)</f>
        <v>1</v>
      </c>
      <c r="O40" s="49">
        <f>VLOOKUP($J40,$T$39:$AA$42,6,0)</f>
        <v>1</v>
      </c>
      <c r="P40" s="49">
        <f>VLOOKUP($J40,$T$39:$AA$42,7,0)</f>
        <v>2</v>
      </c>
      <c r="Q40" s="50">
        <f>VLOOKUP($J40,$T$39:$AA$42,8,0)</f>
        <v>2</v>
      </c>
      <c r="S40" s="51">
        <v>2</v>
      </c>
      <c r="T40" s="52" t="str">
        <f>GroupDraw!D10</f>
        <v>Mark Weaver</v>
      </c>
      <c r="U40" s="52">
        <f t="shared" ref="U40:U42" si="7">W40*3+X40</f>
        <v>0</v>
      </c>
      <c r="V40" s="52">
        <f t="shared" ref="V40:V42" si="8">Z40-AA40</f>
        <v>-5</v>
      </c>
      <c r="W40" s="52" cm="1">
        <f t="array" ref="W40">SUM((OpenHome=T40)*(OpenHomeScore&gt;OpenAwayScore),(OpenAway=T40)*(OpenAwayScore&gt;OpenHomeScore))</f>
        <v>0</v>
      </c>
      <c r="X40" s="52" cm="1">
        <f t="array" ref="X40">SUM((OpenHome=T40)*(OpenHomeScore=OpenAwayScore)*ISNUMBER(OpenAwayScore),(OpenAway=T40)*(OpenAwayScore=OpenHomeScore)*ISNUMBER(OpenHomeScore))</f>
        <v>0</v>
      </c>
      <c r="Y40" s="52" cm="1">
        <f t="array" ref="Y40">SUM((OpenHome=T40)*(OpenHomeScore&lt;OpenAwayScore),(OpenAway=T40)*(OpenAwayScore&lt;OpenHomeScore))</f>
        <v>3</v>
      </c>
      <c r="Z40" s="52">
        <f>SUMIF(OpenHome,T40,OpenHomeScore)+SUMIF(OpenAway,T40,OpenAwayScore)</f>
        <v>2</v>
      </c>
      <c r="AA40" s="53">
        <f>SUMIF(OpenHome,T40,OpenAwayScore)+SUMIF(OpenAway,T40,OpenHomeScore)</f>
        <v>7</v>
      </c>
      <c r="AB40" s="36">
        <f>Z40+V40*10000+U40*100000000</f>
        <v>-49998</v>
      </c>
    </row>
    <row r="41" spans="2:28" ht="15.6" customHeight="1">
      <c r="B41" s="158"/>
      <c r="C41" s="37" t="str">
        <f>Fixtures!D61</f>
        <v>Kye Arnold</v>
      </c>
      <c r="D41" s="13">
        <f>Fixtures!E61</f>
        <v>3</v>
      </c>
      <c r="E41" s="13" t="str">
        <f>Fixtures!F61</f>
        <v>vs</v>
      </c>
      <c r="F41" s="13">
        <f>Fixtures!G61</f>
        <v>1</v>
      </c>
      <c r="G41" s="38" t="str">
        <f>Fixtures!H61</f>
        <v>Mark Weaver</v>
      </c>
      <c r="I41" s="48">
        <v>3</v>
      </c>
      <c r="J41" s="49" t="str" cm="1">
        <f t="array" ref="J41">INDEX($T$39:$T$42,MATCH(LARGE($AB$39:$AB$42-ROW($AB$39:$AB$42)/COUNT($AB$39:$AB$42),ROW(J41)-ROW(J$39)+1),$AB$39:$AB$42-ROW($AB$39:$AB$42)/COUNT($AB$39:$AB$42),0))</f>
        <v>Bob Fairbrother</v>
      </c>
      <c r="K41" s="49">
        <f>VLOOKUP($J41,$T$39:$AA$42,2,0)</f>
        <v>4</v>
      </c>
      <c r="L41" s="49">
        <f>VLOOKUP($J41,$T$39:$AA$42,3,0)</f>
        <v>-2</v>
      </c>
      <c r="M41" s="49">
        <f>VLOOKUP($J41,$T$39:$AA$42,4,0)</f>
        <v>1</v>
      </c>
      <c r="N41" s="49">
        <f>VLOOKUP($J41,$T$39:$AA$42,5,0)</f>
        <v>1</v>
      </c>
      <c r="O41" s="49">
        <f>VLOOKUP($J41,$T$39:$AA$42,6,0)</f>
        <v>1</v>
      </c>
      <c r="P41" s="49">
        <f>VLOOKUP($J41,$T$39:$AA$42,7,0)</f>
        <v>4</v>
      </c>
      <c r="Q41" s="50">
        <f>VLOOKUP($J41,$T$39:$AA$42,8,0)</f>
        <v>6</v>
      </c>
      <c r="R41" s="36"/>
      <c r="S41" s="51">
        <v>3</v>
      </c>
      <c r="T41" s="52" t="str">
        <f>GroupDraw!D11</f>
        <v>Bob Fairbrother</v>
      </c>
      <c r="U41" s="52">
        <f t="shared" si="7"/>
        <v>4</v>
      </c>
      <c r="V41" s="52">
        <f t="shared" si="8"/>
        <v>-2</v>
      </c>
      <c r="W41" s="52" cm="1">
        <f t="array" ref="W41">SUM((OpenHome=T41)*(OpenHomeScore&gt;OpenAwayScore),(OpenAway=T41)*(OpenAwayScore&gt;OpenHomeScore))</f>
        <v>1</v>
      </c>
      <c r="X41" s="52" cm="1">
        <f t="array" ref="X41">SUM((OpenHome=T41)*(OpenHomeScore=OpenAwayScore)*ISNUMBER(OpenAwayScore),(OpenAway=T41)*(OpenAwayScore=OpenHomeScore)*ISNUMBER(OpenHomeScore))</f>
        <v>1</v>
      </c>
      <c r="Y41" s="52" cm="1">
        <f t="array" ref="Y41">SUM((OpenHome=T41)*(OpenHomeScore&lt;OpenAwayScore),(OpenAway=T41)*(OpenAwayScore&lt;OpenHomeScore))</f>
        <v>1</v>
      </c>
      <c r="Z41" s="52">
        <f>SUMIF(OpenHome,T41,OpenHomeScore)+SUMIF(OpenAway,T41,OpenAwayScore)</f>
        <v>4</v>
      </c>
      <c r="AA41" s="53">
        <f>SUMIF(OpenHome,T41,OpenAwayScore)+SUMIF(OpenAway,T41,OpenHomeScore)</f>
        <v>6</v>
      </c>
      <c r="AB41" s="36">
        <f>Z41+V41*10000+U41*100000000</f>
        <v>399980004</v>
      </c>
    </row>
    <row r="42" spans="2:28" ht="15.6" customHeight="1" thickBot="1">
      <c r="B42" s="159"/>
      <c r="C42" s="65" t="str">
        <f>Fixtures!D62</f>
        <v>Bob Fairbrother</v>
      </c>
      <c r="D42" s="32">
        <f>Fixtures!E62</f>
        <v>1</v>
      </c>
      <c r="E42" s="32" t="str">
        <f>Fixtures!F62</f>
        <v>vs</v>
      </c>
      <c r="F42" s="32">
        <f>Fixtures!G62</f>
        <v>1</v>
      </c>
      <c r="G42" s="66" t="str">
        <f>Fixtures!H62</f>
        <v>Ian Sharp</v>
      </c>
      <c r="I42" s="54">
        <v>4</v>
      </c>
      <c r="J42" s="55" t="str" cm="1">
        <f t="array" ref="J42">INDEX($T$39:$T$42,MATCH(LARGE($AB$39:$AB$42-ROW($AB$39:$AB$42)/COUNT($AB$39:$AB$42),ROW(J42)-ROW(J$39)+1),$AB$39:$AB$42-ROW($AB$39:$AB$42)/COUNT($AB$39:$AB$42),0))</f>
        <v>Mark Weaver</v>
      </c>
      <c r="K42" s="55">
        <f>VLOOKUP($J42,$T$39:$AA$42,2,0)</f>
        <v>0</v>
      </c>
      <c r="L42" s="55">
        <f>VLOOKUP($J42,$T$39:$AA$42,3,0)</f>
        <v>-5</v>
      </c>
      <c r="M42" s="55">
        <f>VLOOKUP($J42,$T$39:$AA$42,4,0)</f>
        <v>0</v>
      </c>
      <c r="N42" s="55">
        <f>VLOOKUP($J42,$T$39:$AA$42,5,0)</f>
        <v>0</v>
      </c>
      <c r="O42" s="55">
        <f>VLOOKUP($J42,$T$39:$AA$42,6,0)</f>
        <v>3</v>
      </c>
      <c r="P42" s="55">
        <f>VLOOKUP($J42,$T$39:$AA$42,7,0)</f>
        <v>2</v>
      </c>
      <c r="Q42" s="56">
        <f>VLOOKUP($J42,$T$39:$AA$42,8,0)</f>
        <v>7</v>
      </c>
      <c r="S42" s="57">
        <v>4</v>
      </c>
      <c r="T42" s="58" t="str">
        <f>GroupDraw!D12</f>
        <v>Ian Sharp</v>
      </c>
      <c r="U42" s="58">
        <f t="shared" si="7"/>
        <v>4</v>
      </c>
      <c r="V42" s="58">
        <f t="shared" si="8"/>
        <v>0</v>
      </c>
      <c r="W42" s="58" cm="1">
        <f t="array" ref="W42">SUM((OpenHome=T42)*(OpenHomeScore&gt;OpenAwayScore),(OpenAway=T42)*(OpenAwayScore&gt;OpenHomeScore))</f>
        <v>1</v>
      </c>
      <c r="X42" s="58" cm="1">
        <f t="array" ref="X42">SUM((OpenHome=T42)*(OpenHomeScore=OpenAwayScore)*ISNUMBER(OpenAwayScore),(OpenAway=T42)*(OpenAwayScore=OpenHomeScore)*ISNUMBER(OpenHomeScore))</f>
        <v>1</v>
      </c>
      <c r="Y42" s="58" cm="1">
        <f t="array" ref="Y42">SUM((OpenHome=T42)*(OpenHomeScore&lt;OpenAwayScore),(OpenAway=T42)*(OpenAwayScore&lt;OpenHomeScore))</f>
        <v>1</v>
      </c>
      <c r="Z42" s="58">
        <f>SUMIF(OpenHome,T42,OpenHomeScore)+SUMIF(OpenAway,T42,OpenAwayScore)</f>
        <v>2</v>
      </c>
      <c r="AA42" s="59">
        <f>SUMIF(OpenHome,T42,OpenAwayScore)+SUMIF(OpenAway,T42,OpenHomeScore)</f>
        <v>2</v>
      </c>
      <c r="AB42" s="36">
        <f>Z42+V42*10000+U42*100000000</f>
        <v>400000002</v>
      </c>
    </row>
    <row r="43" spans="2:28" ht="15.6" customHeight="1" thickBot="1">
      <c r="B43" s="139" t="s">
        <v>22</v>
      </c>
      <c r="C43" s="67" t="str">
        <f>Fixtures!D17</f>
        <v>Marco Ghigliotti</v>
      </c>
      <c r="D43" s="68">
        <f>Fixtures!E17</f>
        <v>4</v>
      </c>
      <c r="E43" s="68" t="str">
        <f>Fixtures!F17</f>
        <v>vs</v>
      </c>
      <c r="F43" s="68">
        <f>Fixtures!G17</f>
        <v>2</v>
      </c>
      <c r="G43" s="69" t="str">
        <f>Fixtures!H17</f>
        <v>Simon Bodily</v>
      </c>
      <c r="I43" s="136" t="s">
        <v>124</v>
      </c>
      <c r="J43" s="137"/>
      <c r="K43" s="137"/>
      <c r="L43" s="137"/>
      <c r="M43" s="137"/>
      <c r="N43" s="137"/>
      <c r="O43" s="137"/>
      <c r="P43" s="137"/>
      <c r="Q43" s="138"/>
      <c r="S43" s="133" t="s">
        <v>125</v>
      </c>
      <c r="T43" s="134"/>
      <c r="U43" s="134"/>
      <c r="V43" s="134"/>
      <c r="W43" s="134"/>
      <c r="X43" s="134"/>
      <c r="Y43" s="134"/>
      <c r="Z43" s="134"/>
      <c r="AA43" s="135"/>
      <c r="AB43" s="36"/>
    </row>
    <row r="44" spans="2:28" ht="15.6" customHeight="1" thickBot="1">
      <c r="B44" s="140"/>
      <c r="C44" s="60" t="str">
        <f>Fixtures!D18</f>
        <v>Jamie Warren</v>
      </c>
      <c r="D44" s="20">
        <f>Fixtures!E18</f>
        <v>1</v>
      </c>
      <c r="E44" s="20" t="str">
        <f>Fixtures!F18</f>
        <v>vs</v>
      </c>
      <c r="F44" s="20">
        <f>Fixtures!G18</f>
        <v>1</v>
      </c>
      <c r="G44" s="61" t="str">
        <f>Fixtures!H18</f>
        <v>Connor Gregory</v>
      </c>
      <c r="I44" s="84" t="s">
        <v>103</v>
      </c>
      <c r="J44" s="85" t="s">
        <v>104</v>
      </c>
      <c r="K44" s="85" t="s">
        <v>105</v>
      </c>
      <c r="L44" s="85" t="s">
        <v>106</v>
      </c>
      <c r="M44" s="85" t="s">
        <v>107</v>
      </c>
      <c r="N44" s="85" t="s">
        <v>4</v>
      </c>
      <c r="O44" s="85" t="s">
        <v>108</v>
      </c>
      <c r="P44" s="85" t="s">
        <v>109</v>
      </c>
      <c r="Q44" s="86" t="s">
        <v>110</v>
      </c>
      <c r="S44" s="39" t="s">
        <v>103</v>
      </c>
      <c r="T44" s="40" t="s">
        <v>104</v>
      </c>
      <c r="U44" s="40" t="s">
        <v>105</v>
      </c>
      <c r="V44" s="40" t="s">
        <v>106</v>
      </c>
      <c r="W44" s="40" t="s">
        <v>107</v>
      </c>
      <c r="X44" s="40" t="s">
        <v>4</v>
      </c>
      <c r="Y44" s="40" t="s">
        <v>108</v>
      </c>
      <c r="Z44" s="40" t="s">
        <v>109</v>
      </c>
      <c r="AA44" s="41" t="s">
        <v>110</v>
      </c>
      <c r="AB44" s="36" t="s">
        <v>111</v>
      </c>
    </row>
    <row r="45" spans="2:28" ht="15.6" customHeight="1">
      <c r="B45" s="140"/>
      <c r="C45" s="60" t="str">
        <f>Fixtures!D39</f>
        <v>Marco Ghigliotti</v>
      </c>
      <c r="D45" s="20">
        <f>Fixtures!E39</f>
        <v>3</v>
      </c>
      <c r="E45" s="20" t="str">
        <f>Fixtures!F39</f>
        <v>vs</v>
      </c>
      <c r="F45" s="20">
        <f>Fixtures!G39</f>
        <v>0</v>
      </c>
      <c r="G45" s="61" t="str">
        <f>Fixtures!H39</f>
        <v>Connor Gregory</v>
      </c>
      <c r="I45" s="42">
        <v>1</v>
      </c>
      <c r="J45" s="43" t="str" cm="1">
        <f t="array" ref="J45">INDEX($T$45:$T$48,MATCH(LARGE($AB$45:$AB$48-ROW($AB$45:$AB$48)/COUNT($AB$45:$AB$48),ROW(J45)-ROW(J$45)+1),$AB$45:$AB$48-ROW($AB$45:$AB$48)/COUNT($AB$45:$AB$48),0))</f>
        <v>Marco Ghigliotti</v>
      </c>
      <c r="K45" s="43">
        <f>VLOOKUP($J45,$T$45:$AA$48,2,0)</f>
        <v>9</v>
      </c>
      <c r="L45" s="43">
        <f>VLOOKUP($J45,$T$45:$AA$48,3,0)</f>
        <v>7</v>
      </c>
      <c r="M45" s="43">
        <f>VLOOKUP($J45,$T$45:$AA$48,4,0)</f>
        <v>3</v>
      </c>
      <c r="N45" s="43">
        <f>VLOOKUP($J45,$T$45:$AA$48,5,0)</f>
        <v>0</v>
      </c>
      <c r="O45" s="43">
        <f>VLOOKUP($J45,$T$45:$AA$48,6,0)</f>
        <v>0</v>
      </c>
      <c r="P45" s="43">
        <f>VLOOKUP($J45,$T$45:$AA$48,7,0)</f>
        <v>11</v>
      </c>
      <c r="Q45" s="44">
        <f>VLOOKUP($J45,$T$45:$AA$48,8,0)</f>
        <v>4</v>
      </c>
      <c r="S45" s="45">
        <v>1</v>
      </c>
      <c r="T45" s="46" t="str">
        <f>GroupDraw!E9</f>
        <v>Marco Ghigliotti</v>
      </c>
      <c r="U45" s="46">
        <f>W45*3+X45</f>
        <v>9</v>
      </c>
      <c r="V45" s="46">
        <f>Z45-AA45</f>
        <v>7</v>
      </c>
      <c r="W45" s="46" cm="1">
        <f t="array" ref="W45">SUM((OpenHome=T45)*(OpenHomeScore&gt;OpenAwayScore),(OpenAway=T45)*(OpenAwayScore&gt;OpenHomeScore))</f>
        <v>3</v>
      </c>
      <c r="X45" s="46" cm="1">
        <f t="array" ref="X45">SUM((OpenHome=T45)*(OpenHomeScore=OpenAwayScore)*ISNUMBER(OpenAwayScore),(OpenAway=T45)*(OpenAwayScore=OpenHomeScore)*ISNUMBER(OpenHomeScore))</f>
        <v>0</v>
      </c>
      <c r="Y45" s="46" cm="1">
        <f t="array" ref="Y45">SUM((OpenHome=T45)*(OpenHomeScore&lt;OpenAwayScore),(OpenAway=T45)*(OpenAwayScore&lt;OpenHomeScore))</f>
        <v>0</v>
      </c>
      <c r="Z45" s="46">
        <f>SUMIF(OpenHome,T45,OpenHomeScore)+SUMIF(OpenAway,T45,OpenAwayScore)</f>
        <v>11</v>
      </c>
      <c r="AA45" s="47">
        <f>SUMIF(OpenHome,T45,OpenAwayScore)+SUMIF(OpenAway,T45,OpenHomeScore)</f>
        <v>4</v>
      </c>
      <c r="AB45" s="36">
        <f>Z45+V45*10000+U45*100000000</f>
        <v>900070011</v>
      </c>
    </row>
    <row r="46" spans="2:28" ht="15.6" customHeight="1">
      <c r="B46" s="140"/>
      <c r="C46" s="60" t="str">
        <f>Fixtures!D40</f>
        <v>Jamie Warren</v>
      </c>
      <c r="D46" s="20">
        <f>Fixtures!E40</f>
        <v>4</v>
      </c>
      <c r="E46" s="20" t="str">
        <f>Fixtures!F40</f>
        <v>vs</v>
      </c>
      <c r="F46" s="20">
        <f>Fixtures!G40</f>
        <v>3</v>
      </c>
      <c r="G46" s="61" t="str">
        <f>Fixtures!H40</f>
        <v>Simon Bodily</v>
      </c>
      <c r="I46" s="48">
        <v>2</v>
      </c>
      <c r="J46" s="49" t="str" cm="1">
        <f t="array" ref="J46">INDEX($T$45:$T$48,MATCH(LARGE($AB$45:$AB$48-ROW($AB$45:$AB$48)/COUNT($AB$45:$AB$48),ROW(J46)-ROW(J$45)+1),$AB$45:$AB$48-ROW($AB$45:$AB$48)/COUNT($AB$45:$AB$48),0))</f>
        <v>Jamie Warren</v>
      </c>
      <c r="K46" s="49">
        <f>VLOOKUP($J46,$T$45:$AA$48,2,0)</f>
        <v>4</v>
      </c>
      <c r="L46" s="49">
        <f>VLOOKUP($J46,$T$45:$AA$48,3,0)</f>
        <v>-1</v>
      </c>
      <c r="M46" s="49">
        <f>VLOOKUP($J46,$T$45:$AA$48,4,0)</f>
        <v>1</v>
      </c>
      <c r="N46" s="49">
        <f>VLOOKUP($J46,$T$45:$AA$48,5,0)</f>
        <v>1</v>
      </c>
      <c r="O46" s="49">
        <f>VLOOKUP($J46,$T$45:$AA$48,6,0)</f>
        <v>1</v>
      </c>
      <c r="P46" s="49">
        <f>VLOOKUP($J46,$T$45:$AA$48,7,0)</f>
        <v>7</v>
      </c>
      <c r="Q46" s="50">
        <f>VLOOKUP($J46,$T$45:$AA$48,8,0)</f>
        <v>8</v>
      </c>
      <c r="S46" s="51">
        <v>2</v>
      </c>
      <c r="T46" s="52" t="str">
        <f>GroupDraw!E10</f>
        <v>Jamie Warren</v>
      </c>
      <c r="U46" s="52">
        <f t="shared" ref="U46:U48" si="9">W46*3+X46</f>
        <v>4</v>
      </c>
      <c r="V46" s="52">
        <f t="shared" ref="V46:V48" si="10">Z46-AA46</f>
        <v>-1</v>
      </c>
      <c r="W46" s="52" cm="1">
        <f t="array" ref="W46">SUM((OpenHome=T46)*(OpenHomeScore&gt;OpenAwayScore),(OpenAway=T46)*(OpenAwayScore&gt;OpenHomeScore))</f>
        <v>1</v>
      </c>
      <c r="X46" s="52" cm="1">
        <f t="array" ref="X46">SUM((OpenHome=T46)*(OpenHomeScore=OpenAwayScore)*ISNUMBER(OpenAwayScore),(OpenAway=T46)*(OpenAwayScore=OpenHomeScore)*ISNUMBER(OpenHomeScore))</f>
        <v>1</v>
      </c>
      <c r="Y46" s="52" cm="1">
        <f t="array" ref="Y46">SUM((OpenHome=T46)*(OpenHomeScore&lt;OpenAwayScore),(OpenAway=T46)*(OpenAwayScore&lt;OpenHomeScore))</f>
        <v>1</v>
      </c>
      <c r="Z46" s="52">
        <f>SUMIF(OpenHome,T46,OpenHomeScore)+SUMIF(OpenAway,T46,OpenAwayScore)</f>
        <v>7</v>
      </c>
      <c r="AA46" s="53">
        <f>SUMIF(OpenHome,T46,OpenAwayScore)+SUMIF(OpenAway,T46,OpenHomeScore)</f>
        <v>8</v>
      </c>
      <c r="AB46" s="36">
        <f t="shared" ref="AB46:AB48" si="11">Z46+V46*10000+U46*100000000</f>
        <v>399990007</v>
      </c>
    </row>
    <row r="47" spans="2:28" ht="15.6" customHeight="1">
      <c r="B47" s="140"/>
      <c r="C47" s="60" t="str">
        <f>Fixtures!D63</f>
        <v>Marco Ghigliotti</v>
      </c>
      <c r="D47" s="20">
        <f>Fixtures!E63</f>
        <v>4</v>
      </c>
      <c r="E47" s="20" t="str">
        <f>Fixtures!F63</f>
        <v>vs</v>
      </c>
      <c r="F47" s="20">
        <f>Fixtures!G63</f>
        <v>2</v>
      </c>
      <c r="G47" s="61" t="str">
        <f>Fixtures!H63</f>
        <v>Jamie Warren</v>
      </c>
      <c r="I47" s="48">
        <v>3</v>
      </c>
      <c r="J47" s="49" t="str" cm="1">
        <f t="array" ref="J47">INDEX($T$45:$T$48,MATCH(LARGE($AB$45:$AB$48-ROW($AB$45:$AB$48)/COUNT($AB$45:$AB$48),ROW(J47)-ROW(J$45)+1),$AB$45:$AB$48-ROW($AB$45:$AB$48)/COUNT($AB$45:$AB$48),0))</f>
        <v>Connor Gregory</v>
      </c>
      <c r="K47" s="49">
        <f>VLOOKUP($J47,$T$45:$AA$48,2,0)</f>
        <v>4</v>
      </c>
      <c r="L47" s="49">
        <f>VLOOKUP($J47,$T$45:$AA$48,3,0)</f>
        <v>-2</v>
      </c>
      <c r="M47" s="49">
        <f>VLOOKUP($J47,$T$45:$AA$48,4,0)</f>
        <v>1</v>
      </c>
      <c r="N47" s="49">
        <f>VLOOKUP($J47,$T$45:$AA$48,5,0)</f>
        <v>1</v>
      </c>
      <c r="O47" s="49">
        <f>VLOOKUP($J47,$T$45:$AA$48,6,0)</f>
        <v>1</v>
      </c>
      <c r="P47" s="49">
        <f>VLOOKUP($J47,$T$45:$AA$48,7,0)</f>
        <v>3</v>
      </c>
      <c r="Q47" s="50">
        <f>VLOOKUP($J47,$T$45:$AA$48,8,0)</f>
        <v>5</v>
      </c>
      <c r="R47" s="36"/>
      <c r="S47" s="51">
        <v>3</v>
      </c>
      <c r="T47" s="52" t="str">
        <f>GroupDraw!E11</f>
        <v>Connor Gregory</v>
      </c>
      <c r="U47" s="52">
        <f t="shared" si="9"/>
        <v>4</v>
      </c>
      <c r="V47" s="52">
        <f t="shared" si="10"/>
        <v>-2</v>
      </c>
      <c r="W47" s="52" cm="1">
        <f t="array" ref="W47">SUM((OpenHome=T47)*(OpenHomeScore&gt;OpenAwayScore),(OpenAway=T47)*(OpenAwayScore&gt;OpenHomeScore))</f>
        <v>1</v>
      </c>
      <c r="X47" s="52" cm="1">
        <f t="array" ref="X47">SUM((OpenHome=T47)*(OpenHomeScore=OpenAwayScore)*ISNUMBER(OpenAwayScore),(OpenAway=T47)*(OpenAwayScore=OpenHomeScore)*ISNUMBER(OpenHomeScore))</f>
        <v>1</v>
      </c>
      <c r="Y47" s="52" cm="1">
        <f t="array" ref="Y47">SUM((OpenHome=T47)*(OpenHomeScore&lt;OpenAwayScore),(OpenAway=T47)*(OpenAwayScore&lt;OpenHomeScore))</f>
        <v>1</v>
      </c>
      <c r="Z47" s="52">
        <f>SUMIF(OpenHome,T47,OpenHomeScore)+SUMIF(OpenAway,T47,OpenAwayScore)</f>
        <v>3</v>
      </c>
      <c r="AA47" s="53">
        <f>SUMIF(OpenHome,T47,OpenAwayScore)+SUMIF(OpenAway,T47,OpenHomeScore)</f>
        <v>5</v>
      </c>
      <c r="AB47" s="36">
        <f t="shared" si="11"/>
        <v>399980003</v>
      </c>
    </row>
    <row r="48" spans="2:28" ht="15.6" customHeight="1" thickBot="1">
      <c r="B48" s="141"/>
      <c r="C48" s="63" t="str">
        <f>Fixtures!D64</f>
        <v>Connor Gregory</v>
      </c>
      <c r="D48" s="27">
        <f>Fixtures!E64</f>
        <v>2</v>
      </c>
      <c r="E48" s="27" t="str">
        <f>Fixtures!F64</f>
        <v>vs</v>
      </c>
      <c r="F48" s="27">
        <f>Fixtures!G64</f>
        <v>1</v>
      </c>
      <c r="G48" s="64" t="str">
        <f>Fixtures!H64</f>
        <v>Simon Bodily</v>
      </c>
      <c r="I48" s="54">
        <v>4</v>
      </c>
      <c r="J48" s="55" t="str" cm="1">
        <f t="array" ref="J48">INDEX($T$45:$T$48,MATCH(LARGE($AB$45:$AB$48-ROW($AB$45:$AB$48)/COUNT($AB$45:$AB$48),ROW(J48)-ROW(J$45)+1),$AB$45:$AB$48-ROW($AB$45:$AB$48)/COUNT($AB$45:$AB$48),0))</f>
        <v>Simon Bodily</v>
      </c>
      <c r="K48" s="55">
        <f>VLOOKUP($J48,$T$45:$AA$48,2,0)</f>
        <v>0</v>
      </c>
      <c r="L48" s="55">
        <f>VLOOKUP($J48,$T$45:$AA$48,3,0)</f>
        <v>-4</v>
      </c>
      <c r="M48" s="55">
        <f>VLOOKUP($J48,$T$45:$AA$48,4,0)</f>
        <v>0</v>
      </c>
      <c r="N48" s="55">
        <f>VLOOKUP($J48,$T$45:$AA$48,5,0)</f>
        <v>0</v>
      </c>
      <c r="O48" s="55">
        <f>VLOOKUP($J48,$T$45:$AA$48,6,0)</f>
        <v>3</v>
      </c>
      <c r="P48" s="55">
        <f>VLOOKUP($J48,$T$45:$AA$48,7,0)</f>
        <v>6</v>
      </c>
      <c r="Q48" s="56">
        <f>VLOOKUP($J48,$T$45:$AA$48,8,0)</f>
        <v>10</v>
      </c>
      <c r="S48" s="57">
        <v>4</v>
      </c>
      <c r="T48" s="58" t="str">
        <f>GroupDraw!E12</f>
        <v>Simon Bodily</v>
      </c>
      <c r="U48" s="58">
        <f t="shared" si="9"/>
        <v>0</v>
      </c>
      <c r="V48" s="58">
        <f t="shared" si="10"/>
        <v>-4</v>
      </c>
      <c r="W48" s="58" cm="1">
        <f t="array" ref="W48">SUM((OpenHome=T48)*(OpenHomeScore&gt;OpenAwayScore),(OpenAway=T48)*(OpenAwayScore&gt;OpenHomeScore))</f>
        <v>0</v>
      </c>
      <c r="X48" s="58" cm="1">
        <f t="array" ref="X48">SUM((OpenHome=T48)*(OpenHomeScore=OpenAwayScore)*ISNUMBER(OpenAwayScore),(OpenAway=T48)*(OpenAwayScore=OpenHomeScore)*ISNUMBER(OpenHomeScore))</f>
        <v>0</v>
      </c>
      <c r="Y48" s="58" cm="1">
        <f t="array" ref="Y48">SUM((OpenHome=T48)*(OpenHomeScore&lt;OpenAwayScore),(OpenAway=T48)*(OpenAwayScore&lt;OpenHomeScore))</f>
        <v>3</v>
      </c>
      <c r="Z48" s="58">
        <f>SUMIF(OpenHome,T48,OpenHomeScore)+SUMIF(OpenAway,T48,OpenAwayScore)</f>
        <v>6</v>
      </c>
      <c r="AA48" s="59">
        <f>SUMIF(OpenHome,T48,OpenAwayScore)+SUMIF(OpenAway,T48,OpenHomeScore)</f>
        <v>10</v>
      </c>
      <c r="AB48" s="36">
        <f t="shared" si="11"/>
        <v>-39994</v>
      </c>
    </row>
    <row r="49" spans="2:28" ht="15.6" customHeight="1" thickBot="1">
      <c r="B49" s="157" t="s">
        <v>39</v>
      </c>
      <c r="C49" s="34" t="str">
        <f>Fixtures!D19</f>
        <v>Victor Jones</v>
      </c>
      <c r="D49" s="6">
        <f>Fixtures!E19</f>
        <v>3</v>
      </c>
      <c r="E49" s="6" t="str">
        <f>Fixtures!F19</f>
        <v>vs</v>
      </c>
      <c r="F49" s="6">
        <f>Fixtures!G19</f>
        <v>0</v>
      </c>
      <c r="G49" s="35" t="str">
        <f>Fixtures!H19</f>
        <v>Dave Fletcher</v>
      </c>
      <c r="I49" s="136" t="s">
        <v>126</v>
      </c>
      <c r="J49" s="137"/>
      <c r="K49" s="137"/>
      <c r="L49" s="137"/>
      <c r="M49" s="137"/>
      <c r="N49" s="137"/>
      <c r="O49" s="137"/>
      <c r="P49" s="137"/>
      <c r="Q49" s="138"/>
      <c r="S49" s="133" t="s">
        <v>127</v>
      </c>
      <c r="T49" s="134"/>
      <c r="U49" s="134"/>
      <c r="V49" s="134"/>
      <c r="W49" s="134"/>
      <c r="X49" s="134"/>
      <c r="Y49" s="134"/>
      <c r="Z49" s="134"/>
      <c r="AA49" s="135"/>
      <c r="AB49" s="62"/>
    </row>
    <row r="50" spans="2:28" ht="15.6" customHeight="1" thickBot="1">
      <c r="B50" s="158"/>
      <c r="C50" s="37" t="str">
        <f>Fixtures!D20</f>
        <v>Alan Lee</v>
      </c>
      <c r="D50" s="13">
        <f>Fixtures!E20</f>
        <v>0</v>
      </c>
      <c r="E50" s="13" t="str">
        <f>Fixtures!F20</f>
        <v>vs</v>
      </c>
      <c r="F50" s="13">
        <f>Fixtures!G20</f>
        <v>0</v>
      </c>
      <c r="G50" s="38" t="str">
        <f>Fixtures!H20</f>
        <v>Adam Douglas</v>
      </c>
      <c r="I50" s="87" t="s">
        <v>103</v>
      </c>
      <c r="J50" s="88" t="s">
        <v>104</v>
      </c>
      <c r="K50" s="88" t="s">
        <v>105</v>
      </c>
      <c r="L50" s="88" t="s">
        <v>106</v>
      </c>
      <c r="M50" s="88" t="s">
        <v>107</v>
      </c>
      <c r="N50" s="88" t="s">
        <v>4</v>
      </c>
      <c r="O50" s="88" t="s">
        <v>108</v>
      </c>
      <c r="P50" s="88" t="s">
        <v>109</v>
      </c>
      <c r="Q50" s="89" t="s">
        <v>110</v>
      </c>
      <c r="S50" s="39" t="s">
        <v>103</v>
      </c>
      <c r="T50" s="40" t="s">
        <v>104</v>
      </c>
      <c r="U50" s="40" t="s">
        <v>105</v>
      </c>
      <c r="V50" s="40" t="s">
        <v>106</v>
      </c>
      <c r="W50" s="40" t="s">
        <v>107</v>
      </c>
      <c r="X50" s="40" t="s">
        <v>4</v>
      </c>
      <c r="Y50" s="40" t="s">
        <v>108</v>
      </c>
      <c r="Z50" s="40" t="s">
        <v>109</v>
      </c>
      <c r="AA50" s="41" t="s">
        <v>110</v>
      </c>
      <c r="AB50" s="36" t="s">
        <v>111</v>
      </c>
    </row>
    <row r="51" spans="2:28" ht="15.6" customHeight="1">
      <c r="B51" s="158"/>
      <c r="C51" s="37" t="str">
        <f>Fixtures!D41</f>
        <v>Victor Jones</v>
      </c>
      <c r="D51" s="13">
        <f>Fixtures!E41</f>
        <v>1</v>
      </c>
      <c r="E51" s="13" t="str">
        <f>Fixtures!F41</f>
        <v>vs</v>
      </c>
      <c r="F51" s="13">
        <f>Fixtures!G41</f>
        <v>0</v>
      </c>
      <c r="G51" s="38" t="str">
        <f>Fixtures!H41</f>
        <v>Adam Douglas</v>
      </c>
      <c r="I51" s="42">
        <v>1</v>
      </c>
      <c r="J51" s="43" t="str" cm="1">
        <f t="array" ref="J51">INDEX($T$51:$T$54,MATCH(LARGE($AB$51:$AB$54-ROW($AB$51:$AB$54)/COUNT($AB$51:$AB$54),ROW(J51)-ROW(J$51)+1),$AB$51:$AB$54-ROW($AB$51:$AB$54)/COUNT($AB$51:$AB$54),0))</f>
        <v>Victor Jones</v>
      </c>
      <c r="K51" s="43">
        <f>VLOOKUP($J51,$T$51:$AA$54,2,0)</f>
        <v>9</v>
      </c>
      <c r="L51" s="43">
        <f>VLOOKUP($J51,$T$51:$AA$54,3,0)</f>
        <v>5</v>
      </c>
      <c r="M51" s="43">
        <f>VLOOKUP($J51,$T$51:$AA$54,4,0)</f>
        <v>3</v>
      </c>
      <c r="N51" s="43">
        <f>VLOOKUP($J51,$T$51:$AA$54,5,0)</f>
        <v>0</v>
      </c>
      <c r="O51" s="43">
        <f>VLOOKUP($J51,$T$51:$AA$54,6,0)</f>
        <v>0</v>
      </c>
      <c r="P51" s="43">
        <f>VLOOKUP($J51,$T$51:$AA$54,7,0)</f>
        <v>6</v>
      </c>
      <c r="Q51" s="44">
        <f>VLOOKUP($J51,$T$51:$AA$54,8,0)</f>
        <v>1</v>
      </c>
      <c r="R51" s="36"/>
      <c r="S51" s="45">
        <v>1</v>
      </c>
      <c r="T51" s="46" t="str">
        <f>GroupDraw!B14</f>
        <v>Victor Jones</v>
      </c>
      <c r="U51" s="46">
        <f>W51*3+X51</f>
        <v>9</v>
      </c>
      <c r="V51" s="46">
        <f>Z51-AA51</f>
        <v>5</v>
      </c>
      <c r="W51" s="46" cm="1">
        <f t="array" ref="W51">SUM((OpenHome=T51)*(OpenHomeScore&gt;OpenAwayScore),(OpenAway=T51)*(OpenAwayScore&gt;OpenHomeScore))</f>
        <v>3</v>
      </c>
      <c r="X51" s="46" cm="1">
        <f t="array" ref="X51">SUM((OpenHome=T51)*(OpenHomeScore=OpenAwayScore)*ISNUMBER(OpenAwayScore),(OpenAway=T51)*(OpenAwayScore=OpenHomeScore)*ISNUMBER(OpenHomeScore))</f>
        <v>0</v>
      </c>
      <c r="Y51" s="46" cm="1">
        <f t="array" ref="Y51">SUM((OpenHome=T51)*(OpenHomeScore&lt;OpenAwayScore),(OpenAway=T51)*(OpenAwayScore&lt;OpenHomeScore))</f>
        <v>0</v>
      </c>
      <c r="Z51" s="46">
        <f>SUMIF(OpenHome,T51,OpenHomeScore)+SUMIF(OpenAway,T51,OpenAwayScore)</f>
        <v>6</v>
      </c>
      <c r="AA51" s="47">
        <f>SUMIF(OpenHome,T51,OpenAwayScore)+SUMIF(OpenAway,T51,OpenHomeScore)</f>
        <v>1</v>
      </c>
      <c r="AB51" s="36">
        <f>Z51+V51*10000+U51*100000000</f>
        <v>900050006</v>
      </c>
    </row>
    <row r="52" spans="2:28" ht="15.6" customHeight="1">
      <c r="B52" s="158"/>
      <c r="C52" s="37" t="str">
        <f>Fixtures!D42</f>
        <v>Alan Lee</v>
      </c>
      <c r="D52" s="13">
        <f>Fixtures!E42</f>
        <v>5</v>
      </c>
      <c r="E52" s="13" t="str">
        <f>Fixtures!F42</f>
        <v>vs</v>
      </c>
      <c r="F52" s="13">
        <f>Fixtures!G42</f>
        <v>0</v>
      </c>
      <c r="G52" s="38" t="str">
        <f>Fixtures!H42</f>
        <v>Dave Fletcher</v>
      </c>
      <c r="I52" s="48">
        <v>2</v>
      </c>
      <c r="J52" s="49" t="str" cm="1">
        <f t="array" ref="J52">INDEX($T$51:$T$54,MATCH(LARGE($AB$51:$AB$54-ROW($AB$51:$AB$54)/COUNT($AB$51:$AB$54),ROW(J52)-ROW(J$51)+1),$AB$51:$AB$54-ROW($AB$51:$AB$54)/COUNT($AB$51:$AB$54),0))</f>
        <v>Alan Lee</v>
      </c>
      <c r="K52" s="49">
        <f t="shared" ref="K52:K54" si="12">VLOOKUP($J52,$T$51:$AA$54,2,0)</f>
        <v>4</v>
      </c>
      <c r="L52" s="49">
        <f t="shared" ref="L52:L54" si="13">VLOOKUP($J52,$T$51:$AA$54,3,0)</f>
        <v>4</v>
      </c>
      <c r="M52" s="49">
        <f t="shared" ref="M52:M54" si="14">VLOOKUP($J52,$T$51:$AA$54,4,0)</f>
        <v>1</v>
      </c>
      <c r="N52" s="49">
        <f t="shared" ref="N52:N54" si="15">VLOOKUP($J52,$T$51:$AA$54,5,0)</f>
        <v>1</v>
      </c>
      <c r="O52" s="49">
        <f t="shared" ref="O52:O54" si="16">VLOOKUP($J52,$T$51:$AA$54,6,0)</f>
        <v>1</v>
      </c>
      <c r="P52" s="49">
        <f t="shared" ref="P52:P54" si="17">VLOOKUP($J52,$T$51:$AA$54,7,0)</f>
        <v>6</v>
      </c>
      <c r="Q52" s="50">
        <f t="shared" ref="Q52:Q54" si="18">VLOOKUP($J52,$T$51:$AA$54,8,0)</f>
        <v>2</v>
      </c>
      <c r="S52" s="51">
        <v>2</v>
      </c>
      <c r="T52" s="52" t="str">
        <f>GroupDraw!B15</f>
        <v>Alan Lee</v>
      </c>
      <c r="U52" s="52">
        <f t="shared" ref="U52:U54" si="19">W52*3+X52</f>
        <v>4</v>
      </c>
      <c r="V52" s="52">
        <f t="shared" ref="V52:V54" si="20">Z52-AA52</f>
        <v>4</v>
      </c>
      <c r="W52" s="52" cm="1">
        <f t="array" ref="W52">SUM((OpenHome=T52)*(OpenHomeScore&gt;OpenAwayScore),(OpenAway=T52)*(OpenAwayScore&gt;OpenHomeScore))</f>
        <v>1</v>
      </c>
      <c r="X52" s="52" cm="1">
        <f t="array" ref="X52">SUM((OpenHome=T52)*(OpenHomeScore=OpenAwayScore)*ISNUMBER(OpenAwayScore),(OpenAway=T52)*(OpenAwayScore=OpenHomeScore)*ISNUMBER(OpenHomeScore))</f>
        <v>1</v>
      </c>
      <c r="Y52" s="52" cm="1">
        <f t="array" ref="Y52">SUM((OpenHome=T52)*(OpenHomeScore&lt;OpenAwayScore),(OpenAway=T52)*(OpenAwayScore&lt;OpenHomeScore))</f>
        <v>1</v>
      </c>
      <c r="Z52" s="52">
        <f>SUMIF(OpenHome,T52,OpenHomeScore)+SUMIF(OpenAway,T52,OpenAwayScore)</f>
        <v>6</v>
      </c>
      <c r="AA52" s="53">
        <f>SUMIF(OpenHome,T52,OpenAwayScore)+SUMIF(OpenAway,T52,OpenHomeScore)</f>
        <v>2</v>
      </c>
      <c r="AB52" s="36">
        <f>Z52+V52*10000+U52*100000000</f>
        <v>400040006</v>
      </c>
    </row>
    <row r="53" spans="2:28" ht="15.6" customHeight="1">
      <c r="B53" s="158"/>
      <c r="C53" s="37" t="str">
        <f>Fixtures!D65</f>
        <v>Victor Jones</v>
      </c>
      <c r="D53" s="13">
        <f>Fixtures!E65</f>
        <v>2</v>
      </c>
      <c r="E53" s="13" t="str">
        <f>Fixtures!F65</f>
        <v>vs</v>
      </c>
      <c r="F53" s="13">
        <f>Fixtures!G65</f>
        <v>1</v>
      </c>
      <c r="G53" s="38" t="str">
        <f>Fixtures!H65</f>
        <v>Alan Lee</v>
      </c>
      <c r="I53" s="48">
        <v>3</v>
      </c>
      <c r="J53" s="49" t="str" cm="1">
        <f t="array" ref="J53">INDEX($T$51:$T$54,MATCH(LARGE($AB$51:$AB$54-ROW($AB$51:$AB$54)/COUNT($AB$51:$AB$54),ROW(J53)-ROW(J$51)+1),$AB$51:$AB$54-ROW($AB$51:$AB$54)/COUNT($AB$51:$AB$54),0))</f>
        <v>Adam Douglas</v>
      </c>
      <c r="K53" s="49">
        <f t="shared" si="12"/>
        <v>4</v>
      </c>
      <c r="L53" s="49">
        <f t="shared" si="13"/>
        <v>0</v>
      </c>
      <c r="M53" s="49">
        <f t="shared" si="14"/>
        <v>1</v>
      </c>
      <c r="N53" s="49">
        <f t="shared" si="15"/>
        <v>1</v>
      </c>
      <c r="O53" s="49">
        <f t="shared" si="16"/>
        <v>1</v>
      </c>
      <c r="P53" s="49">
        <f t="shared" si="17"/>
        <v>1</v>
      </c>
      <c r="Q53" s="50">
        <f t="shared" si="18"/>
        <v>1</v>
      </c>
      <c r="S53" s="51">
        <v>3</v>
      </c>
      <c r="T53" s="52" t="str">
        <f>GroupDraw!B16</f>
        <v>Adam Douglas</v>
      </c>
      <c r="U53" s="52">
        <f t="shared" si="19"/>
        <v>4</v>
      </c>
      <c r="V53" s="52">
        <f t="shared" si="20"/>
        <v>0</v>
      </c>
      <c r="W53" s="52" cm="1">
        <f t="array" ref="W53">SUM((OpenHome=T53)*(OpenHomeScore&gt;OpenAwayScore),(OpenAway=T53)*(OpenAwayScore&gt;OpenHomeScore))</f>
        <v>1</v>
      </c>
      <c r="X53" s="52" cm="1">
        <f t="array" ref="X53">SUM((OpenHome=T53)*(OpenHomeScore=OpenAwayScore)*ISNUMBER(OpenAwayScore),(OpenAway=T53)*(OpenAwayScore=OpenHomeScore)*ISNUMBER(OpenHomeScore))</f>
        <v>1</v>
      </c>
      <c r="Y53" s="52" cm="1">
        <f t="array" ref="Y53">SUM((OpenHome=T53)*(OpenHomeScore&lt;OpenAwayScore),(OpenAway=T53)*(OpenAwayScore&lt;OpenHomeScore))</f>
        <v>1</v>
      </c>
      <c r="Z53" s="52">
        <f>SUMIF(OpenHome,T53,OpenHomeScore)+SUMIF(OpenAway,T53,OpenAwayScore)</f>
        <v>1</v>
      </c>
      <c r="AA53" s="53">
        <f>SUMIF(OpenHome,T53,OpenAwayScore)+SUMIF(OpenAway,T53,OpenHomeScore)</f>
        <v>1</v>
      </c>
      <c r="AB53" s="36">
        <f>Z53+V53*10000+U53*100000000</f>
        <v>400000001</v>
      </c>
    </row>
    <row r="54" spans="2:28" ht="15.6" customHeight="1" thickBot="1">
      <c r="B54" s="159"/>
      <c r="C54" s="65" t="str">
        <f>Fixtures!D66</f>
        <v>Adam Douglas</v>
      </c>
      <c r="D54" s="32">
        <f>Fixtures!E66</f>
        <v>1</v>
      </c>
      <c r="E54" s="32" t="str">
        <f>Fixtures!F66</f>
        <v>vs</v>
      </c>
      <c r="F54" s="32">
        <f>Fixtures!G66</f>
        <v>0</v>
      </c>
      <c r="G54" s="66" t="str">
        <f>Fixtures!H66</f>
        <v>Dave Fletcher</v>
      </c>
      <c r="I54" s="54">
        <v>4</v>
      </c>
      <c r="J54" s="55" t="str" cm="1">
        <f t="array" ref="J54">INDEX($T$51:$T$54,MATCH(LARGE($AB$51:$AB$54-ROW($AB$51:$AB$54)/COUNT($AB$51:$AB$54),ROW(J54)-ROW(J$51)+1),$AB$51:$AB$54-ROW($AB$51:$AB$54)/COUNT($AB$51:$AB$54),0))</f>
        <v>Dave Fletcher</v>
      </c>
      <c r="K54" s="55">
        <f t="shared" si="12"/>
        <v>0</v>
      </c>
      <c r="L54" s="55">
        <f t="shared" si="13"/>
        <v>-9</v>
      </c>
      <c r="M54" s="55">
        <f t="shared" si="14"/>
        <v>0</v>
      </c>
      <c r="N54" s="55">
        <f t="shared" si="15"/>
        <v>0</v>
      </c>
      <c r="O54" s="55">
        <f t="shared" si="16"/>
        <v>3</v>
      </c>
      <c r="P54" s="55">
        <f t="shared" si="17"/>
        <v>0</v>
      </c>
      <c r="Q54" s="56">
        <f t="shared" si="18"/>
        <v>9</v>
      </c>
      <c r="S54" s="57">
        <v>4</v>
      </c>
      <c r="T54" s="58" t="str">
        <f>GroupDraw!B17</f>
        <v>Dave Fletcher</v>
      </c>
      <c r="U54" s="58">
        <f t="shared" si="19"/>
        <v>0</v>
      </c>
      <c r="V54" s="58">
        <f t="shared" si="20"/>
        <v>-9</v>
      </c>
      <c r="W54" s="58" cm="1">
        <f t="array" ref="W54">SUM((OpenHome=T54)*(OpenHomeScore&gt;OpenAwayScore),(OpenAway=T54)*(OpenAwayScore&gt;OpenHomeScore))</f>
        <v>0</v>
      </c>
      <c r="X54" s="58" cm="1">
        <f t="array" ref="X54">SUM((OpenHome=T54)*(OpenHomeScore=OpenAwayScore)*ISNUMBER(OpenAwayScore),(OpenAway=T54)*(OpenAwayScore=OpenHomeScore)*ISNUMBER(OpenHomeScore))</f>
        <v>0</v>
      </c>
      <c r="Y54" s="58" cm="1">
        <f t="array" ref="Y54">SUM((OpenHome=T54)*(OpenHomeScore&lt;OpenAwayScore),(OpenAway=T54)*(OpenAwayScore&lt;OpenHomeScore))</f>
        <v>3</v>
      </c>
      <c r="Z54" s="58">
        <f>SUMIF(OpenHome,T54,OpenHomeScore)+SUMIF(OpenAway,T54,OpenAwayScore)</f>
        <v>0</v>
      </c>
      <c r="AA54" s="59">
        <f>SUMIF(OpenHome,T54,OpenAwayScore)+SUMIF(OpenAway,T54,OpenHomeScore)</f>
        <v>9</v>
      </c>
      <c r="AB54" s="36">
        <f>Z54+V54*10000+U54*100000000</f>
        <v>-90000</v>
      </c>
    </row>
    <row r="55" spans="2:28" ht="15.6" customHeight="1" thickBot="1">
      <c r="B55" s="139" t="s">
        <v>40</v>
      </c>
      <c r="C55" s="67" t="str">
        <f>Fixtures!D21</f>
        <v>Paul Andreas</v>
      </c>
      <c r="D55" s="68">
        <f>Fixtures!E21</f>
        <v>0</v>
      </c>
      <c r="E55" s="68" t="str">
        <f>Fixtures!F21</f>
        <v>vs</v>
      </c>
      <c r="F55" s="68">
        <f>Fixtures!G21</f>
        <v>1</v>
      </c>
      <c r="G55" s="69" t="str">
        <f>Fixtures!H21</f>
        <v>Simon Goodman</v>
      </c>
      <c r="I55" s="142" t="s">
        <v>128</v>
      </c>
      <c r="J55" s="143"/>
      <c r="K55" s="143"/>
      <c r="L55" s="143"/>
      <c r="M55" s="143"/>
      <c r="N55" s="143"/>
      <c r="O55" s="143"/>
      <c r="P55" s="143"/>
      <c r="Q55" s="144"/>
      <c r="S55" s="133" t="s">
        <v>129</v>
      </c>
      <c r="T55" s="134"/>
      <c r="U55" s="134"/>
      <c r="V55" s="134"/>
      <c r="W55" s="134"/>
      <c r="X55" s="134"/>
      <c r="Y55" s="134"/>
      <c r="Z55" s="134"/>
      <c r="AA55" s="135"/>
      <c r="AB55" s="62"/>
    </row>
    <row r="56" spans="2:28" ht="15.6" customHeight="1" thickBot="1">
      <c r="B56" s="140"/>
      <c r="C56" s="60" t="str">
        <f>Fixtures!D22</f>
        <v>Rob Fitch</v>
      </c>
      <c r="D56" s="20">
        <f>Fixtures!E22</f>
        <v>0</v>
      </c>
      <c r="E56" s="20" t="str">
        <f>Fixtures!F22</f>
        <v>vs</v>
      </c>
      <c r="F56" s="20">
        <f>Fixtures!G22</f>
        <v>5</v>
      </c>
      <c r="G56" s="61" t="str">
        <f>Fixtures!H22</f>
        <v>Malcolm Jamieson</v>
      </c>
      <c r="I56" s="87" t="s">
        <v>103</v>
      </c>
      <c r="J56" s="88" t="s">
        <v>104</v>
      </c>
      <c r="K56" s="88" t="s">
        <v>105</v>
      </c>
      <c r="L56" s="88" t="s">
        <v>106</v>
      </c>
      <c r="M56" s="88" t="s">
        <v>107</v>
      </c>
      <c r="N56" s="88" t="s">
        <v>4</v>
      </c>
      <c r="O56" s="88" t="s">
        <v>108</v>
      </c>
      <c r="P56" s="88" t="s">
        <v>109</v>
      </c>
      <c r="Q56" s="89" t="s">
        <v>110</v>
      </c>
      <c r="S56" s="39" t="s">
        <v>103</v>
      </c>
      <c r="T56" s="40" t="s">
        <v>104</v>
      </c>
      <c r="U56" s="40" t="s">
        <v>105</v>
      </c>
      <c r="V56" s="40" t="s">
        <v>106</v>
      </c>
      <c r="W56" s="40" t="s">
        <v>107</v>
      </c>
      <c r="X56" s="40" t="s">
        <v>4</v>
      </c>
      <c r="Y56" s="40" t="s">
        <v>108</v>
      </c>
      <c r="Z56" s="40" t="s">
        <v>109</v>
      </c>
      <c r="AA56" s="41" t="s">
        <v>110</v>
      </c>
      <c r="AB56" s="36" t="s">
        <v>111</v>
      </c>
    </row>
    <row r="57" spans="2:28" ht="15.6" customHeight="1">
      <c r="B57" s="140"/>
      <c r="C57" s="60" t="str">
        <f>Fixtures!D45</f>
        <v>Paul Andreas</v>
      </c>
      <c r="D57" s="20">
        <f>Fixtures!E45</f>
        <v>6</v>
      </c>
      <c r="E57" s="20" t="str">
        <f>Fixtures!F45</f>
        <v>vs</v>
      </c>
      <c r="F57" s="20">
        <f>Fixtures!G45</f>
        <v>2</v>
      </c>
      <c r="G57" s="61" t="str">
        <f>Fixtures!H45</f>
        <v>Malcolm Jamieson</v>
      </c>
      <c r="I57" s="42">
        <v>1</v>
      </c>
      <c r="J57" s="43" t="str" cm="1">
        <f t="array" ref="J57">INDEX($T$57:$T$60,MATCH(LARGE($AB$57:$AB$60-ROW($AB$57:$AB$60)/COUNT($AB$57:$AB$60),ROW(J57)-ROW(J$57)+1),$AB$57:$AB$60-ROW($AB$57:$AB$60)/COUNT($AB$57:$AB$60),0))</f>
        <v>Paul Andreas</v>
      </c>
      <c r="K57" s="43">
        <f>VLOOKUP($J57,$T$57:$AA$60,2,0)</f>
        <v>6</v>
      </c>
      <c r="L57" s="43">
        <f>VLOOKUP($J57,$T$57:$AA$60,3,0)</f>
        <v>7</v>
      </c>
      <c r="M57" s="43">
        <f>VLOOKUP($J57,$T$57:$AA$60,4,0)</f>
        <v>2</v>
      </c>
      <c r="N57" s="43">
        <f>VLOOKUP($J57,$T$57:$AA$60,5,0)</f>
        <v>0</v>
      </c>
      <c r="O57" s="43">
        <f>VLOOKUP($J57,$T$57:$AA$60,6,0)</f>
        <v>1</v>
      </c>
      <c r="P57" s="43">
        <f>VLOOKUP($J57,$T$57:$AA$60,7,0)</f>
        <v>11</v>
      </c>
      <c r="Q57" s="44">
        <f>VLOOKUP($J57,$T$57:$AA$60,8,0)</f>
        <v>4</v>
      </c>
      <c r="S57" s="45">
        <v>1</v>
      </c>
      <c r="T57" s="46" t="str">
        <f>GroupDraw!C14</f>
        <v>Paul Andreas</v>
      </c>
      <c r="U57" s="46">
        <f>W57*3+X57</f>
        <v>6</v>
      </c>
      <c r="V57" s="46">
        <f>Z57-AA57</f>
        <v>7</v>
      </c>
      <c r="W57" s="46" cm="1">
        <f t="array" ref="W57">SUM((OpenHome=T57)*(OpenHomeScore&gt;OpenAwayScore),(OpenAway=T57)*(OpenAwayScore&gt;OpenHomeScore))</f>
        <v>2</v>
      </c>
      <c r="X57" s="46" cm="1">
        <f t="array" ref="X57">SUM((OpenHome=T57)*(OpenHomeScore=OpenAwayScore)*ISNUMBER(OpenAwayScore),(OpenAway=T57)*(OpenAwayScore=OpenHomeScore)*ISNUMBER(OpenHomeScore))</f>
        <v>0</v>
      </c>
      <c r="Y57" s="46" cm="1">
        <f t="array" ref="Y57">SUM((OpenHome=T57)*(OpenHomeScore&lt;OpenAwayScore),(OpenAway=T57)*(OpenAwayScore&lt;OpenHomeScore))</f>
        <v>1</v>
      </c>
      <c r="Z57" s="46">
        <f>SUMIF(OpenHome,T57,OpenHomeScore)+SUMIF(OpenAway,T57,OpenAwayScore)</f>
        <v>11</v>
      </c>
      <c r="AA57" s="47">
        <f>SUMIF(OpenHome,T57,OpenAwayScore)+SUMIF(OpenAway,T57,OpenHomeScore)</f>
        <v>4</v>
      </c>
      <c r="AB57" s="36">
        <f>Z57+V57*10000+U57*100000000</f>
        <v>600070011</v>
      </c>
    </row>
    <row r="58" spans="2:28" ht="15.6" customHeight="1">
      <c r="B58" s="140"/>
      <c r="C58" s="60" t="str">
        <f>Fixtures!D46</f>
        <v>Rob Fitch</v>
      </c>
      <c r="D58" s="20">
        <f>Fixtures!E46</f>
        <v>0</v>
      </c>
      <c r="E58" s="20" t="str">
        <f>Fixtures!F46</f>
        <v>vs</v>
      </c>
      <c r="F58" s="20">
        <f>Fixtures!G46</f>
        <v>3</v>
      </c>
      <c r="G58" s="61" t="str">
        <f>Fixtures!H46</f>
        <v>Simon Goodman</v>
      </c>
      <c r="I58" s="48">
        <v>2</v>
      </c>
      <c r="J58" s="49" t="str" cm="1">
        <f t="array" ref="J58">INDEX($T$57:$T$60,MATCH(LARGE($AB$57:$AB$60-ROW($AB$57:$AB$60)/COUNT($AB$57:$AB$60),ROW(J58)-ROW(J$57)+1),$AB$57:$AB$60-ROW($AB$57:$AB$60)/COUNT($AB$57:$AB$60),0))</f>
        <v>Simon Goodman</v>
      </c>
      <c r="K58" s="49">
        <f t="shared" ref="K58:K60" si="21">VLOOKUP($J58,$T$57:$AA$60,2,0)</f>
        <v>6</v>
      </c>
      <c r="L58" s="49">
        <f t="shared" ref="L58:L60" si="22">VLOOKUP($J58,$T$57:$AA$60,3,0)</f>
        <v>3</v>
      </c>
      <c r="M58" s="49">
        <f t="shared" ref="M58:M60" si="23">VLOOKUP($J58,$T$57:$AA$60,4,0)</f>
        <v>2</v>
      </c>
      <c r="N58" s="49">
        <f t="shared" ref="N58:N60" si="24">VLOOKUP($J58,$T$57:$AA$60,5,0)</f>
        <v>0</v>
      </c>
      <c r="O58" s="49">
        <f t="shared" ref="O58:O60" si="25">VLOOKUP($J58,$T$57:$AA$60,6,0)</f>
        <v>1</v>
      </c>
      <c r="P58" s="49">
        <f t="shared" ref="P58:P60" si="26">VLOOKUP($J58,$T$57:$AA$60,7,0)</f>
        <v>7</v>
      </c>
      <c r="Q58" s="50">
        <f t="shared" ref="Q58:Q60" si="27">VLOOKUP($J58,$T$57:$AA$60,8,0)</f>
        <v>4</v>
      </c>
      <c r="R58" s="36"/>
      <c r="S58" s="51">
        <v>2</v>
      </c>
      <c r="T58" s="52" t="str">
        <f>GroupDraw!C15</f>
        <v>Rob Fitch</v>
      </c>
      <c r="U58" s="52">
        <f t="shared" ref="U58:U60" si="28">W58*3+X58</f>
        <v>0</v>
      </c>
      <c r="V58" s="52">
        <f t="shared" ref="V58:V60" si="29">Z58-AA58</f>
        <v>-12</v>
      </c>
      <c r="W58" s="52" cm="1">
        <f t="array" ref="W58">SUM((OpenHome=T58)*(OpenHomeScore&gt;OpenAwayScore),(OpenAway=T58)*(OpenAwayScore&gt;OpenHomeScore))</f>
        <v>0</v>
      </c>
      <c r="X58" s="52" cm="1">
        <f t="array" ref="X58">SUM((OpenHome=T58)*(OpenHomeScore=OpenAwayScore)*ISNUMBER(OpenAwayScore),(OpenAway=T58)*(OpenAwayScore=OpenHomeScore)*ISNUMBER(OpenHomeScore))</f>
        <v>0</v>
      </c>
      <c r="Y58" s="52" cm="1">
        <f t="array" ref="Y58">SUM((OpenHome=T58)*(OpenHomeScore&lt;OpenAwayScore),(OpenAway=T58)*(OpenAwayScore&lt;OpenHomeScore))</f>
        <v>3</v>
      </c>
      <c r="Z58" s="52">
        <f>SUMIF(OpenHome,T58,OpenHomeScore)+SUMIF(OpenAway,T58,OpenAwayScore)</f>
        <v>1</v>
      </c>
      <c r="AA58" s="53">
        <f>SUMIF(OpenHome,T58,OpenAwayScore)+SUMIF(OpenAway,T58,OpenHomeScore)</f>
        <v>13</v>
      </c>
      <c r="AB58" s="36">
        <f>Z58+V58*10000+U58*100000000</f>
        <v>-119999</v>
      </c>
    </row>
    <row r="59" spans="2:28" ht="15.6" customHeight="1">
      <c r="B59" s="140"/>
      <c r="C59" s="60" t="str">
        <f>Fixtures!D67</f>
        <v>Paul Andreas</v>
      </c>
      <c r="D59" s="20">
        <f>Fixtures!E67</f>
        <v>5</v>
      </c>
      <c r="E59" s="20" t="str">
        <f>Fixtures!F67</f>
        <v>vs</v>
      </c>
      <c r="F59" s="20">
        <f>Fixtures!G67</f>
        <v>1</v>
      </c>
      <c r="G59" s="61" t="str">
        <f>Fixtures!H67</f>
        <v>Rob Fitch</v>
      </c>
      <c r="I59" s="48">
        <v>3</v>
      </c>
      <c r="J59" s="49" t="str" cm="1">
        <f t="array" ref="J59">INDEX($T$57:$T$60,MATCH(LARGE($AB$57:$AB$60-ROW($AB$57:$AB$60)/COUNT($AB$57:$AB$60),ROW(J59)-ROW(J$57)+1),$AB$57:$AB$60-ROW($AB$57:$AB$60)/COUNT($AB$57:$AB$60),0))</f>
        <v>Malcolm Jamieson</v>
      </c>
      <c r="K59" s="49">
        <f t="shared" si="21"/>
        <v>6</v>
      </c>
      <c r="L59" s="49">
        <f t="shared" si="22"/>
        <v>2</v>
      </c>
      <c r="M59" s="49">
        <f t="shared" si="23"/>
        <v>2</v>
      </c>
      <c r="N59" s="49">
        <f t="shared" si="24"/>
        <v>0</v>
      </c>
      <c r="O59" s="49">
        <f t="shared" si="25"/>
        <v>1</v>
      </c>
      <c r="P59" s="49">
        <f t="shared" si="26"/>
        <v>11</v>
      </c>
      <c r="Q59" s="50">
        <f t="shared" si="27"/>
        <v>9</v>
      </c>
      <c r="S59" s="51">
        <v>3</v>
      </c>
      <c r="T59" s="52" t="str">
        <f>GroupDraw!C16</f>
        <v>Malcolm Jamieson</v>
      </c>
      <c r="U59" s="52">
        <f t="shared" si="28"/>
        <v>6</v>
      </c>
      <c r="V59" s="52">
        <f t="shared" si="29"/>
        <v>2</v>
      </c>
      <c r="W59" s="52" cm="1">
        <f t="array" ref="W59">SUM((OpenHome=T59)*(OpenHomeScore&gt;OpenAwayScore),(OpenAway=T59)*(OpenAwayScore&gt;OpenHomeScore))</f>
        <v>2</v>
      </c>
      <c r="X59" s="52" cm="1">
        <f t="array" ref="X59">SUM((OpenHome=T59)*(OpenHomeScore=OpenAwayScore)*ISNUMBER(OpenAwayScore),(OpenAway=T59)*(OpenAwayScore=OpenHomeScore)*ISNUMBER(OpenHomeScore))</f>
        <v>0</v>
      </c>
      <c r="Y59" s="52" cm="1">
        <f t="array" ref="Y59">SUM((OpenHome=T59)*(OpenHomeScore&lt;OpenAwayScore),(OpenAway=T59)*(OpenAwayScore&lt;OpenHomeScore))</f>
        <v>1</v>
      </c>
      <c r="Z59" s="52">
        <f>SUMIF(OpenHome,T59,OpenHomeScore)+SUMIF(OpenAway,T59,OpenAwayScore)</f>
        <v>11</v>
      </c>
      <c r="AA59" s="53">
        <f>SUMIF(OpenHome,T59,OpenAwayScore)+SUMIF(OpenAway,T59,OpenHomeScore)</f>
        <v>9</v>
      </c>
      <c r="AB59" s="36">
        <f>Z59+V59*10000+U59*100000000</f>
        <v>600020011</v>
      </c>
    </row>
    <row r="60" spans="2:28" ht="15.6" customHeight="1" thickBot="1">
      <c r="B60" s="141"/>
      <c r="C60" s="63" t="str">
        <f>Fixtures!D68</f>
        <v>Malcolm Jamieson</v>
      </c>
      <c r="D60" s="27">
        <f>Fixtures!E68</f>
        <v>4</v>
      </c>
      <c r="E60" s="27" t="str">
        <f>Fixtures!F68</f>
        <v>vs</v>
      </c>
      <c r="F60" s="27">
        <f>Fixtures!G68</f>
        <v>3</v>
      </c>
      <c r="G60" s="64" t="str">
        <f>Fixtures!H68</f>
        <v>Simon Goodman</v>
      </c>
      <c r="I60" s="54">
        <v>4</v>
      </c>
      <c r="J60" s="55" t="str" cm="1">
        <f t="array" ref="J60">INDEX($T$57:$T$60,MATCH(LARGE($AB$57:$AB$60-ROW($AB$57:$AB$60)/COUNT($AB$57:$AB$60),ROW(J60)-ROW(J$57)+1),$AB$57:$AB$60-ROW($AB$57:$AB$60)/COUNT($AB$57:$AB$60),0))</f>
        <v>Rob Fitch</v>
      </c>
      <c r="K60" s="55">
        <f t="shared" si="21"/>
        <v>0</v>
      </c>
      <c r="L60" s="55">
        <f t="shared" si="22"/>
        <v>-12</v>
      </c>
      <c r="M60" s="55">
        <f t="shared" si="23"/>
        <v>0</v>
      </c>
      <c r="N60" s="55">
        <f t="shared" si="24"/>
        <v>0</v>
      </c>
      <c r="O60" s="55">
        <f t="shared" si="25"/>
        <v>3</v>
      </c>
      <c r="P60" s="55">
        <f t="shared" si="26"/>
        <v>1</v>
      </c>
      <c r="Q60" s="56">
        <f t="shared" si="27"/>
        <v>13</v>
      </c>
      <c r="S60" s="57">
        <v>4</v>
      </c>
      <c r="T60" s="58" t="str">
        <f>GroupDraw!C17</f>
        <v>Simon Goodman</v>
      </c>
      <c r="U60" s="58">
        <f t="shared" si="28"/>
        <v>6</v>
      </c>
      <c r="V60" s="58">
        <f t="shared" si="29"/>
        <v>3</v>
      </c>
      <c r="W60" s="58" cm="1">
        <f t="array" ref="W60">SUM((OpenHome=T60)*(OpenHomeScore&gt;OpenAwayScore),(OpenAway=T60)*(OpenAwayScore&gt;OpenHomeScore))</f>
        <v>2</v>
      </c>
      <c r="X60" s="58" cm="1">
        <f t="array" ref="X60">SUM((OpenHome=T60)*(OpenHomeScore=OpenAwayScore)*ISNUMBER(OpenAwayScore),(OpenAway=T60)*(OpenAwayScore=OpenHomeScore)*ISNUMBER(OpenHomeScore))</f>
        <v>0</v>
      </c>
      <c r="Y60" s="58" cm="1">
        <f t="array" ref="Y60">SUM((OpenHome=T60)*(OpenHomeScore&lt;OpenAwayScore),(OpenAway=T60)*(OpenAwayScore&lt;OpenHomeScore))</f>
        <v>1</v>
      </c>
      <c r="Z60" s="58">
        <f>SUMIF(OpenHome,T60,OpenHomeScore)+SUMIF(OpenAway,T60,OpenAwayScore)</f>
        <v>7</v>
      </c>
      <c r="AA60" s="59">
        <f>SUMIF(OpenHome,T60,OpenAwayScore)+SUMIF(OpenAway,T60,OpenHomeScore)</f>
        <v>4</v>
      </c>
      <c r="AB60" s="36">
        <f>Z60+V60*10000+U60*100000000</f>
        <v>600030007</v>
      </c>
    </row>
    <row r="61" spans="2:28" ht="15.6" customHeight="1" thickBot="1">
      <c r="B61" s="157" t="s">
        <v>41</v>
      </c>
      <c r="C61" s="34" t="str">
        <f>Fixtures!D23</f>
        <v>Steve Wonnacott</v>
      </c>
      <c r="D61" s="6">
        <f>Fixtures!E23</f>
        <v>4</v>
      </c>
      <c r="E61" s="6" t="str">
        <f>Fixtures!F23</f>
        <v>vs</v>
      </c>
      <c r="F61" s="6">
        <f>Fixtures!G23</f>
        <v>1</v>
      </c>
      <c r="G61" s="35" t="str">
        <f>Fixtures!H23</f>
        <v>Joe Parody</v>
      </c>
      <c r="I61" s="130" t="s">
        <v>130</v>
      </c>
      <c r="J61" s="131"/>
      <c r="K61" s="131"/>
      <c r="L61" s="131"/>
      <c r="M61" s="131"/>
      <c r="N61" s="131"/>
      <c r="O61" s="131"/>
      <c r="P61" s="131"/>
      <c r="Q61" s="132"/>
      <c r="S61" s="133" t="s">
        <v>131</v>
      </c>
      <c r="T61" s="134"/>
      <c r="U61" s="134"/>
      <c r="V61" s="134"/>
      <c r="W61" s="134"/>
      <c r="X61" s="134"/>
      <c r="Y61" s="134"/>
      <c r="Z61" s="134"/>
      <c r="AA61" s="135"/>
      <c r="AB61" s="36"/>
    </row>
    <row r="62" spans="2:28" ht="15.6" customHeight="1" thickBot="1">
      <c r="B62" s="158"/>
      <c r="C62" s="37" t="str">
        <f>Fixtures!D24</f>
        <v>Panos Stemitsiotis</v>
      </c>
      <c r="D62" s="13">
        <f>Fixtures!E24</f>
        <v>3</v>
      </c>
      <c r="E62" s="13" t="str">
        <f>Fixtures!F24</f>
        <v>vs</v>
      </c>
      <c r="F62" s="13">
        <f>Fixtures!G24</f>
        <v>0</v>
      </c>
      <c r="G62" s="38" t="str">
        <f>Fixtures!H24</f>
        <v>Simon McMurray</v>
      </c>
      <c r="I62" s="87" t="s">
        <v>103</v>
      </c>
      <c r="J62" s="88" t="s">
        <v>104</v>
      </c>
      <c r="K62" s="88" t="s">
        <v>105</v>
      </c>
      <c r="L62" s="88" t="s">
        <v>106</v>
      </c>
      <c r="M62" s="88" t="s">
        <v>107</v>
      </c>
      <c r="N62" s="88" t="s">
        <v>4</v>
      </c>
      <c r="O62" s="88" t="s">
        <v>108</v>
      </c>
      <c r="P62" s="88" t="s">
        <v>109</v>
      </c>
      <c r="Q62" s="89" t="s">
        <v>110</v>
      </c>
      <c r="S62" s="39" t="s">
        <v>103</v>
      </c>
      <c r="T62" s="40" t="s">
        <v>104</v>
      </c>
      <c r="U62" s="40" t="s">
        <v>105</v>
      </c>
      <c r="V62" s="40" t="s">
        <v>106</v>
      </c>
      <c r="W62" s="40" t="s">
        <v>107</v>
      </c>
      <c r="X62" s="40" t="s">
        <v>4</v>
      </c>
      <c r="Y62" s="40" t="s">
        <v>108</v>
      </c>
      <c r="Z62" s="40" t="s">
        <v>109</v>
      </c>
      <c r="AA62" s="41" t="s">
        <v>110</v>
      </c>
      <c r="AB62" s="36" t="s">
        <v>111</v>
      </c>
    </row>
    <row r="63" spans="2:28" ht="15.6" customHeight="1">
      <c r="B63" s="158"/>
      <c r="C63" s="37" t="str">
        <f>Fixtures!D47</f>
        <v>Steve Wonnacott</v>
      </c>
      <c r="D63" s="13">
        <f>Fixtures!E47</f>
        <v>2</v>
      </c>
      <c r="E63" s="13" t="str">
        <f>Fixtures!F47</f>
        <v>vs</v>
      </c>
      <c r="F63" s="13">
        <f>Fixtures!G47</f>
        <v>1</v>
      </c>
      <c r="G63" s="38" t="str">
        <f>Fixtures!H47</f>
        <v>Simon McMurray</v>
      </c>
      <c r="I63" s="70">
        <v>1</v>
      </c>
      <c r="J63" s="71" t="str" cm="1">
        <f t="array" ref="J63">INDEX($T$63:$T$66,MATCH(LARGE($AB$63:$AB$66-ROW($AB$63:$AB$66)/COUNT($AB$63:$AB$66),ROW(J63)-ROW(J$63)+1),$AB$63:$AB$66-ROW($AB$63:$AB$66)/COUNT($AB$63:$AB$66),0))</f>
        <v>Panos Stemitsiotis</v>
      </c>
      <c r="K63" s="71">
        <f>VLOOKUP($J63,$T$63:$AA$66,2,0)</f>
        <v>9</v>
      </c>
      <c r="L63" s="71">
        <f>VLOOKUP($J63,$T$63:$AA$66,3,0)</f>
        <v>7</v>
      </c>
      <c r="M63" s="71">
        <f>VLOOKUP($J63,$T$63:$AA$66,4,0)</f>
        <v>3</v>
      </c>
      <c r="N63" s="71">
        <f>VLOOKUP($J63,$T$63:$AA$66,5,0)</f>
        <v>0</v>
      </c>
      <c r="O63" s="71">
        <f>VLOOKUP($J63,$T$63:$AA$66,6,0)</f>
        <v>0</v>
      </c>
      <c r="P63" s="71">
        <f>VLOOKUP($J63,$T$63:$AA$66,7,0)</f>
        <v>7</v>
      </c>
      <c r="Q63" s="72">
        <f>VLOOKUP($J63,$T$63:$AA$66,8,0)</f>
        <v>0</v>
      </c>
      <c r="S63" s="45">
        <v>1</v>
      </c>
      <c r="T63" s="46" t="str">
        <f>GroupDraw!D14</f>
        <v>Steve Wonnacott</v>
      </c>
      <c r="U63" s="46">
        <f>W63*3+X63</f>
        <v>6</v>
      </c>
      <c r="V63" s="46">
        <f>Z63-AA63</f>
        <v>2</v>
      </c>
      <c r="W63" s="46" cm="1">
        <f t="array" ref="W63">SUM((OpenHome=T63)*(OpenHomeScore&gt;OpenAwayScore),(OpenAway=T63)*(OpenAwayScore&gt;OpenHomeScore))</f>
        <v>2</v>
      </c>
      <c r="X63" s="46" cm="1">
        <f t="array" ref="X63">SUM((OpenHome=T63)*(OpenHomeScore=OpenAwayScore)*ISNUMBER(OpenAwayScore),(OpenAway=T63)*(OpenAwayScore=OpenHomeScore)*ISNUMBER(OpenHomeScore))</f>
        <v>0</v>
      </c>
      <c r="Y63" s="46" cm="1">
        <f t="array" ref="Y63">SUM((OpenHome=T63)*(OpenHomeScore&lt;OpenAwayScore),(OpenAway=T63)*(OpenAwayScore&lt;OpenHomeScore))</f>
        <v>1</v>
      </c>
      <c r="Z63" s="46">
        <f>SUMIF(OpenHome,T63,OpenHomeScore)+SUMIF(OpenAway,T63,OpenAwayScore)</f>
        <v>6</v>
      </c>
      <c r="AA63" s="47">
        <f>SUMIF(OpenHome,T63,OpenAwayScore)+SUMIF(OpenAway,T63,OpenHomeScore)</f>
        <v>4</v>
      </c>
      <c r="AB63" s="36">
        <f>Z63+V63*10000+U63*100000000</f>
        <v>600020006</v>
      </c>
    </row>
    <row r="64" spans="2:28" ht="15.6" customHeight="1">
      <c r="B64" s="158"/>
      <c r="C64" s="37" t="str">
        <f>Fixtures!D48</f>
        <v>Panos Stemitsiotis</v>
      </c>
      <c r="D64" s="13">
        <f>Fixtures!E48</f>
        <v>2</v>
      </c>
      <c r="E64" s="13" t="str">
        <f>Fixtures!F48</f>
        <v>vs</v>
      </c>
      <c r="F64" s="13">
        <f>Fixtures!G48</f>
        <v>0</v>
      </c>
      <c r="G64" s="38" t="str">
        <f>Fixtures!H48</f>
        <v>Joe Parody</v>
      </c>
      <c r="I64" s="48">
        <v>2</v>
      </c>
      <c r="J64" s="49" t="str" cm="1">
        <f t="array" ref="J64">INDEX($T$63:$T$66,MATCH(LARGE($AB$63:$AB$66-ROW($AB$63:$AB$66)/COUNT($AB$63:$AB$66),ROW(J64)-ROW(J$63)+1),$AB$63:$AB$66-ROW($AB$63:$AB$66)/COUNT($AB$63:$AB$66),0))</f>
        <v>Steve Wonnacott</v>
      </c>
      <c r="K64" s="49">
        <f t="shared" ref="K64:K66" si="30">VLOOKUP($J64,$T$63:$AA$66,2,0)</f>
        <v>6</v>
      </c>
      <c r="L64" s="49">
        <f t="shared" ref="L64:L66" si="31">VLOOKUP($J64,$T$63:$AA$66,3,0)</f>
        <v>2</v>
      </c>
      <c r="M64" s="49">
        <f t="shared" ref="M64:M66" si="32">VLOOKUP($J64,$T$63:$AA$66,4,0)</f>
        <v>2</v>
      </c>
      <c r="N64" s="49">
        <f t="shared" ref="N64:N66" si="33">VLOOKUP($J64,$T$63:$AA$66,5,0)</f>
        <v>0</v>
      </c>
      <c r="O64" s="49">
        <f t="shared" ref="O64:O66" si="34">VLOOKUP($J64,$T$63:$AA$66,6,0)</f>
        <v>1</v>
      </c>
      <c r="P64" s="49">
        <f t="shared" ref="P64:P66" si="35">VLOOKUP($J64,$T$63:$AA$66,7,0)</f>
        <v>6</v>
      </c>
      <c r="Q64" s="50">
        <f t="shared" ref="Q64:Q66" si="36">VLOOKUP($J64,$T$63:$AA$66,8,0)</f>
        <v>4</v>
      </c>
      <c r="S64" s="51">
        <v>2</v>
      </c>
      <c r="T64" s="52" t="str">
        <f>GroupDraw!D15</f>
        <v>Panos Stemitsiotis</v>
      </c>
      <c r="U64" s="52">
        <f t="shared" ref="U64:U66" si="37">W64*3+X64</f>
        <v>9</v>
      </c>
      <c r="V64" s="52">
        <f t="shared" ref="V64:V66" si="38">Z64-AA64</f>
        <v>7</v>
      </c>
      <c r="W64" s="52" cm="1">
        <f t="array" ref="W64">SUM((OpenHome=T64)*(OpenHomeScore&gt;OpenAwayScore),(OpenAway=T64)*(OpenAwayScore&gt;OpenHomeScore))</f>
        <v>3</v>
      </c>
      <c r="X64" s="52" cm="1">
        <f t="array" ref="X64">SUM((OpenHome=T64)*(OpenHomeScore=OpenAwayScore)*ISNUMBER(OpenAwayScore),(OpenAway=T64)*(OpenAwayScore=OpenHomeScore)*ISNUMBER(OpenHomeScore))</f>
        <v>0</v>
      </c>
      <c r="Y64" s="52" cm="1">
        <f t="array" ref="Y64">SUM((OpenHome=T64)*(OpenHomeScore&lt;OpenAwayScore),(OpenAway=T64)*(OpenAwayScore&lt;OpenHomeScore))</f>
        <v>0</v>
      </c>
      <c r="Z64" s="52">
        <f>SUMIF(OpenHome,T64,OpenHomeScore)+SUMIF(OpenAway,T64,OpenAwayScore)</f>
        <v>7</v>
      </c>
      <c r="AA64" s="53">
        <f>SUMIF(OpenHome,T64,OpenAwayScore)+SUMIF(OpenAway,T64,OpenHomeScore)</f>
        <v>0</v>
      </c>
      <c r="AB64" s="36">
        <f>Z64+V64*10000+U64*100000000</f>
        <v>900070007</v>
      </c>
    </row>
    <row r="65" spans="2:28" ht="15.6" customHeight="1">
      <c r="B65" s="158"/>
      <c r="C65" s="37" t="str">
        <f>Fixtures!D69</f>
        <v>Steve Wonnacott</v>
      </c>
      <c r="D65" s="13">
        <f>Fixtures!E69</f>
        <v>0</v>
      </c>
      <c r="E65" s="13" t="str">
        <f>Fixtures!F69</f>
        <v>vs</v>
      </c>
      <c r="F65" s="13">
        <f>Fixtures!G69</f>
        <v>2</v>
      </c>
      <c r="G65" s="38" t="str">
        <f>Fixtures!H69</f>
        <v>Panos Stemitsiotis</v>
      </c>
      <c r="I65" s="48">
        <v>3</v>
      </c>
      <c r="J65" s="49" t="str" cm="1">
        <f t="array" ref="J65">INDEX($T$63:$T$66,MATCH(LARGE($AB$63:$AB$66-ROW($AB$63:$AB$66)/COUNT($AB$63:$AB$66),ROW(J65)-ROW(J$63)+1),$AB$63:$AB$66-ROW($AB$63:$AB$66)/COUNT($AB$63:$AB$66),0))</f>
        <v>Simon McMurray</v>
      </c>
      <c r="K65" s="49">
        <f t="shared" si="30"/>
        <v>3</v>
      </c>
      <c r="L65" s="49">
        <f t="shared" si="31"/>
        <v>-3</v>
      </c>
      <c r="M65" s="49">
        <f t="shared" si="32"/>
        <v>1</v>
      </c>
      <c r="N65" s="49">
        <f t="shared" si="33"/>
        <v>0</v>
      </c>
      <c r="O65" s="49">
        <f t="shared" si="34"/>
        <v>2</v>
      </c>
      <c r="P65" s="49">
        <f t="shared" si="35"/>
        <v>2</v>
      </c>
      <c r="Q65" s="50">
        <f t="shared" si="36"/>
        <v>5</v>
      </c>
      <c r="R65" s="36"/>
      <c r="S65" s="51">
        <v>3</v>
      </c>
      <c r="T65" s="52" t="str">
        <f>GroupDraw!D16</f>
        <v>Simon McMurray</v>
      </c>
      <c r="U65" s="52">
        <f t="shared" si="37"/>
        <v>3</v>
      </c>
      <c r="V65" s="52">
        <f t="shared" si="38"/>
        <v>-3</v>
      </c>
      <c r="W65" s="52" cm="1">
        <f t="array" ref="W65">SUM((OpenHome=T65)*(OpenHomeScore&gt;OpenAwayScore),(OpenAway=T65)*(OpenAwayScore&gt;OpenHomeScore))</f>
        <v>1</v>
      </c>
      <c r="X65" s="52" cm="1">
        <f t="array" ref="X65">SUM((OpenHome=T65)*(OpenHomeScore=OpenAwayScore)*ISNUMBER(OpenAwayScore),(OpenAway=T65)*(OpenAwayScore=OpenHomeScore)*ISNUMBER(OpenHomeScore))</f>
        <v>0</v>
      </c>
      <c r="Y65" s="52" cm="1">
        <f t="array" ref="Y65">SUM((OpenHome=T65)*(OpenHomeScore&lt;OpenAwayScore),(OpenAway=T65)*(OpenAwayScore&lt;OpenHomeScore))</f>
        <v>2</v>
      </c>
      <c r="Z65" s="52">
        <f>SUMIF(OpenHome,T65,OpenHomeScore)+SUMIF(OpenAway,T65,OpenAwayScore)</f>
        <v>2</v>
      </c>
      <c r="AA65" s="53">
        <f>SUMIF(OpenHome,T65,OpenAwayScore)+SUMIF(OpenAway,T65,OpenHomeScore)</f>
        <v>5</v>
      </c>
      <c r="AB65" s="36">
        <f>Z65+V65*10000+U65*100000000</f>
        <v>299970002</v>
      </c>
    </row>
    <row r="66" spans="2:28" ht="15.6" customHeight="1" thickBot="1">
      <c r="B66" s="159"/>
      <c r="C66" s="65" t="str">
        <f>Fixtures!D70</f>
        <v>Simon McMurray</v>
      </c>
      <c r="D66" s="32">
        <f>Fixtures!E70</f>
        <v>1</v>
      </c>
      <c r="E66" s="32" t="str">
        <f>Fixtures!F70</f>
        <v>vs</v>
      </c>
      <c r="F66" s="32">
        <f>Fixtures!G70</f>
        <v>0</v>
      </c>
      <c r="G66" s="66" t="str">
        <f>Fixtures!H70</f>
        <v>Joe Parody</v>
      </c>
      <c r="I66" s="54">
        <v>4</v>
      </c>
      <c r="J66" s="55" t="str" cm="1">
        <f t="array" ref="J66">INDEX($T$63:$T$66,MATCH(LARGE($AB$63:$AB$66-ROW($AB$63:$AB$66)/COUNT($AB$63:$AB$66),ROW(J66)-ROW(J$63)+1),$AB$63:$AB$66-ROW($AB$63:$AB$66)/COUNT($AB$63:$AB$66),0))</f>
        <v>Joe Parody</v>
      </c>
      <c r="K66" s="55">
        <f t="shared" si="30"/>
        <v>0</v>
      </c>
      <c r="L66" s="55">
        <f t="shared" si="31"/>
        <v>-6</v>
      </c>
      <c r="M66" s="55">
        <f t="shared" si="32"/>
        <v>0</v>
      </c>
      <c r="N66" s="55">
        <f t="shared" si="33"/>
        <v>0</v>
      </c>
      <c r="O66" s="55">
        <f t="shared" si="34"/>
        <v>3</v>
      </c>
      <c r="P66" s="55">
        <f t="shared" si="35"/>
        <v>1</v>
      </c>
      <c r="Q66" s="56">
        <f t="shared" si="36"/>
        <v>7</v>
      </c>
      <c r="S66" s="57">
        <v>4</v>
      </c>
      <c r="T66" s="58" t="str">
        <f>GroupDraw!D17</f>
        <v>Joe Parody</v>
      </c>
      <c r="U66" s="58">
        <f t="shared" si="37"/>
        <v>0</v>
      </c>
      <c r="V66" s="58">
        <f t="shared" si="38"/>
        <v>-6</v>
      </c>
      <c r="W66" s="58" cm="1">
        <f t="array" ref="W66">SUM((OpenHome=T66)*(OpenHomeScore&gt;OpenAwayScore),(OpenAway=T66)*(OpenAwayScore&gt;OpenHomeScore))</f>
        <v>0</v>
      </c>
      <c r="X66" s="58" cm="1">
        <f t="array" ref="X66">SUM((OpenHome=T66)*(OpenHomeScore=OpenAwayScore)*ISNUMBER(OpenAwayScore),(OpenAway=T66)*(OpenAwayScore=OpenHomeScore)*ISNUMBER(OpenHomeScore))</f>
        <v>0</v>
      </c>
      <c r="Y66" s="58" cm="1">
        <f t="array" ref="Y66">SUM((OpenHome=T66)*(OpenHomeScore&lt;OpenAwayScore),(OpenAway=T66)*(OpenAwayScore&lt;OpenHomeScore))</f>
        <v>3</v>
      </c>
      <c r="Z66" s="58">
        <f>SUMIF(OpenHome,T66,OpenHomeScore)+SUMIF(OpenAway,T66,OpenAwayScore)</f>
        <v>1</v>
      </c>
      <c r="AA66" s="59">
        <f>SUMIF(OpenHome,T66,OpenAwayScore)+SUMIF(OpenAway,T66,OpenHomeScore)</f>
        <v>7</v>
      </c>
      <c r="AB66" s="36">
        <f>Z66+V66*10000+U66*100000000</f>
        <v>-59999</v>
      </c>
    </row>
    <row r="67" spans="2:28" ht="15" thickBot="1"/>
    <row r="68" spans="2:28" ht="15" thickBot="1">
      <c r="C68" s="90" t="s">
        <v>57</v>
      </c>
      <c r="D68" s="127" t="s">
        <v>132</v>
      </c>
      <c r="E68" s="128"/>
      <c r="F68" s="129"/>
      <c r="G68" s="90" t="s">
        <v>57</v>
      </c>
    </row>
    <row r="69" spans="2:28">
      <c r="C69" s="34" t="str">
        <f>Fixtures!D73</f>
        <v>Paul Andreas</v>
      </c>
      <c r="D69" s="6">
        <f>Fixtures!E73</f>
        <v>3</v>
      </c>
      <c r="E69" s="6" t="str">
        <f>Fixtures!F73</f>
        <v>vs</v>
      </c>
      <c r="F69" s="6">
        <f>Fixtures!G73</f>
        <v>1</v>
      </c>
      <c r="G69" s="35" t="str">
        <f>Fixtures!H73</f>
        <v>Jamie Warren</v>
      </c>
    </row>
    <row r="70" spans="2:28">
      <c r="C70" s="37" t="str">
        <f>Fixtures!D74</f>
        <v>Adam Wells</v>
      </c>
      <c r="D70" s="13">
        <f>Fixtures!E74</f>
        <v>0</v>
      </c>
      <c r="E70" s="13" t="str">
        <f>Fixtures!F74</f>
        <v>vs</v>
      </c>
      <c r="F70" s="13">
        <f>Fixtures!G74</f>
        <v>1</v>
      </c>
      <c r="G70" s="38" t="str">
        <f>Fixtures!H74</f>
        <v>Ian Sharp</v>
      </c>
    </row>
    <row r="71" spans="2:28">
      <c r="C71" s="60" t="str">
        <f>Fixtures!D75</f>
        <v>Justin Scott</v>
      </c>
      <c r="D71" s="20">
        <f>Fixtures!E75</f>
        <v>3</v>
      </c>
      <c r="E71" s="20" t="str">
        <f>Fixtures!F75</f>
        <v>vs</v>
      </c>
      <c r="F71" s="20">
        <f>Fixtures!G75</f>
        <v>0</v>
      </c>
      <c r="G71" s="61" t="str">
        <f>Fixtures!H75</f>
        <v>Steve Wonnacott</v>
      </c>
    </row>
    <row r="72" spans="2:28">
      <c r="C72" s="60" t="str">
        <f>Fixtures!D76</f>
        <v>Alan Lee</v>
      </c>
      <c r="D72" s="20">
        <f>Fixtures!E76</f>
        <v>6</v>
      </c>
      <c r="E72" s="20" t="str">
        <f>Fixtures!F76</f>
        <v>vs</v>
      </c>
      <c r="F72" s="20">
        <f>Fixtures!G76</f>
        <v>0</v>
      </c>
      <c r="G72" s="61" t="str">
        <f>Fixtures!H76</f>
        <v>Simon Goodman</v>
      </c>
    </row>
    <row r="73" spans="2:28">
      <c r="C73" s="37" t="str">
        <f>Fixtures!D77</f>
        <v>Tony Banks</v>
      </c>
      <c r="D73" s="13">
        <f>Fixtures!E77</f>
        <v>2</v>
      </c>
      <c r="E73" s="13" t="str">
        <f>Fixtures!F77</f>
        <v>vs</v>
      </c>
      <c r="F73" s="13">
        <f>Fixtures!G77</f>
        <v>4</v>
      </c>
      <c r="G73" s="38" t="str">
        <f>Fixtures!H77</f>
        <v>Jason Christopher</v>
      </c>
    </row>
    <row r="74" spans="2:28" ht="13.9" customHeight="1" thickBot="1">
      <c r="C74" s="65" t="str">
        <f>Fixtures!D78</f>
        <v>Darren Barnes</v>
      </c>
      <c r="D74" s="32">
        <f>Fixtures!E78</f>
        <v>0</v>
      </c>
      <c r="E74" s="32" t="str">
        <f>Fixtures!F78</f>
        <v>vs</v>
      </c>
      <c r="F74" s="32">
        <f>Fixtures!G78</f>
        <v>2</v>
      </c>
      <c r="G74" s="66" t="str">
        <f>Fixtures!H78</f>
        <v>Gage Badger</v>
      </c>
    </row>
    <row r="76" spans="2:28">
      <c r="C76" s="90" t="s">
        <v>57</v>
      </c>
      <c r="D76" s="127" t="s">
        <v>133</v>
      </c>
      <c r="E76" s="128"/>
      <c r="F76" s="129"/>
      <c r="G76" s="90" t="s">
        <v>57</v>
      </c>
    </row>
    <row r="77" spans="2:28">
      <c r="C77" s="34" t="str">
        <f>Fixtures!D84</f>
        <v>Aaron Skinner</v>
      </c>
      <c r="D77" s="6">
        <f>Fixtures!E84</f>
        <v>0</v>
      </c>
      <c r="E77" s="6" t="str">
        <f>Fixtures!F84</f>
        <v>vs</v>
      </c>
      <c r="F77" s="6" t="str">
        <f>Fixtures!G84</f>
        <v>0(GG)</v>
      </c>
      <c r="G77" s="35" t="str">
        <f>Fixtures!H84</f>
        <v>Jason Christopher</v>
      </c>
    </row>
    <row r="78" spans="2:28">
      <c r="C78" s="37" t="str">
        <f>Fixtures!D85</f>
        <v>Mick Hammonds</v>
      </c>
      <c r="D78" s="13">
        <f>Fixtures!E85</f>
        <v>1</v>
      </c>
      <c r="E78" s="13" t="str">
        <f>Fixtures!F85</f>
        <v>vs</v>
      </c>
      <c r="F78" s="13">
        <f>Fixtures!G85</f>
        <v>0</v>
      </c>
      <c r="G78" s="38" t="str">
        <f>Fixtures!H85</f>
        <v>Panos Stemitsiotis</v>
      </c>
    </row>
    <row r="79" spans="2:28">
      <c r="C79" s="60" t="str">
        <f>Fixtures!D86</f>
        <v>Chris Short</v>
      </c>
      <c r="D79" s="20">
        <f>Fixtures!E86</f>
        <v>3</v>
      </c>
      <c r="E79" s="20" t="str">
        <f>Fixtures!F86</f>
        <v>vs</v>
      </c>
      <c r="F79" s="20">
        <f>Fixtures!G86</f>
        <v>0</v>
      </c>
      <c r="G79" s="61" t="str">
        <f>Fixtures!H86</f>
        <v>Ian Sharp</v>
      </c>
    </row>
    <row r="80" spans="2:28">
      <c r="C80" s="60" t="str">
        <f>Fixtures!D87</f>
        <v>Alan Lee</v>
      </c>
      <c r="D80" s="20" t="str">
        <f>Fixtures!E87</f>
        <v>1(GG)</v>
      </c>
      <c r="E80" s="20" t="str">
        <f>Fixtures!F87</f>
        <v>vs</v>
      </c>
      <c r="F80" s="20">
        <f>Fixtures!G87</f>
        <v>1</v>
      </c>
      <c r="G80" s="61" t="str">
        <f>Fixtures!H87</f>
        <v>Marco Ghigliotti</v>
      </c>
    </row>
    <row r="81" spans="3:7">
      <c r="C81" s="37" t="str">
        <f>Fixtures!D94</f>
        <v>Victor Jones</v>
      </c>
      <c r="D81" s="13">
        <f>Fixtures!E94</f>
        <v>0</v>
      </c>
      <c r="E81" s="13" t="str">
        <f>Fixtures!F94</f>
        <v>vs</v>
      </c>
      <c r="F81" s="13">
        <f>Fixtures!G94</f>
        <v>1</v>
      </c>
      <c r="G81" s="38" t="str">
        <f>Fixtures!H94</f>
        <v>Justin Scott</v>
      </c>
    </row>
    <row r="82" spans="3:7">
      <c r="C82" s="37" t="str">
        <f>Fixtures!D95</f>
        <v>Paul Andreas</v>
      </c>
      <c r="D82" s="13">
        <f>Fixtures!E95</f>
        <v>2</v>
      </c>
      <c r="E82" s="13" t="str">
        <f>Fixtures!F95</f>
        <v>vs</v>
      </c>
      <c r="F82" s="13">
        <f>Fixtures!G95</f>
        <v>3</v>
      </c>
      <c r="G82" s="38" t="str">
        <f>Fixtures!H95</f>
        <v>Kye Arnold</v>
      </c>
    </row>
    <row r="83" spans="3:7">
      <c r="C83" s="60" t="str">
        <f>Fixtures!D96</f>
        <v>Richard Badger</v>
      </c>
      <c r="D83" s="20">
        <f>Fixtures!E96</f>
        <v>0</v>
      </c>
      <c r="E83" s="20" t="str">
        <f>Fixtures!F96</f>
        <v>vs</v>
      </c>
      <c r="F83" s="20">
        <f>Fixtures!G96</f>
        <v>2</v>
      </c>
      <c r="G83" s="61" t="str">
        <f>Fixtures!H96</f>
        <v>Kevin Cordell</v>
      </c>
    </row>
    <row r="84" spans="3:7">
      <c r="C84" s="63" t="str">
        <f>Fixtures!D97</f>
        <v>Gage Badger</v>
      </c>
      <c r="D84" s="27">
        <f>Fixtures!E97</f>
        <v>1</v>
      </c>
      <c r="E84" s="27" t="str">
        <f>Fixtures!F97</f>
        <v>vs</v>
      </c>
      <c r="F84" s="27">
        <f>Fixtures!G97</f>
        <v>3</v>
      </c>
      <c r="G84" s="64" t="str">
        <f>Fixtures!H97</f>
        <v>Rudi Peters</v>
      </c>
    </row>
    <row r="86" spans="3:7">
      <c r="C86" s="90" t="s">
        <v>57</v>
      </c>
      <c r="D86" s="127" t="s">
        <v>134</v>
      </c>
      <c r="E86" s="128"/>
      <c r="F86" s="129"/>
      <c r="G86" s="90" t="s">
        <v>57</v>
      </c>
    </row>
    <row r="87" spans="3:7">
      <c r="C87" s="34" t="str">
        <f>Fixtures!D104</f>
        <v>Jason Christopher</v>
      </c>
      <c r="D87" s="6">
        <f>Fixtures!E104</f>
        <v>0</v>
      </c>
      <c r="E87" s="6" t="str">
        <f>Fixtures!F104</f>
        <v>vs</v>
      </c>
      <c r="F87" s="6">
        <f>Fixtures!G104</f>
        <v>1</v>
      </c>
      <c r="G87" s="35" t="str">
        <f>Fixtures!H104</f>
        <v>Mick Hammonds</v>
      </c>
    </row>
    <row r="88" spans="3:7">
      <c r="C88" s="37" t="str">
        <f>Fixtures!D105</f>
        <v>Chris Short</v>
      </c>
      <c r="D88" s="13">
        <f>Fixtures!E105</f>
        <v>2</v>
      </c>
      <c r="E88" s="13" t="str">
        <f>Fixtures!F105</f>
        <v>vs</v>
      </c>
      <c r="F88" s="13">
        <f>Fixtures!G105</f>
        <v>0</v>
      </c>
      <c r="G88" s="38" t="str">
        <f>Fixtures!H105</f>
        <v>Alan Lee</v>
      </c>
    </row>
    <row r="89" spans="3:7">
      <c r="C89" s="60" t="str">
        <f>Fixtures!D106</f>
        <v>Justin Scott</v>
      </c>
      <c r="D89" s="20">
        <f>Fixtures!E106</f>
        <v>2</v>
      </c>
      <c r="E89" s="20" t="str">
        <f>Fixtures!F106</f>
        <v>vs</v>
      </c>
      <c r="F89" s="20">
        <f>Fixtures!G106</f>
        <v>0</v>
      </c>
      <c r="G89" s="61" t="str">
        <f>Fixtures!H106</f>
        <v>Kye Arnold</v>
      </c>
    </row>
    <row r="90" spans="3:7">
      <c r="C90" s="63" t="str">
        <f>Fixtures!D107</f>
        <v>Kevin Cordell</v>
      </c>
      <c r="D90" s="27">
        <f>Fixtures!E107</f>
        <v>1</v>
      </c>
      <c r="E90" s="27" t="str">
        <f>Fixtures!F107</f>
        <v>vs</v>
      </c>
      <c r="F90" s="27">
        <f>Fixtures!G107</f>
        <v>0</v>
      </c>
      <c r="G90" s="64" t="str">
        <f>Fixtures!H107</f>
        <v>Rudi Peters</v>
      </c>
    </row>
    <row r="92" spans="3:7">
      <c r="C92" s="90" t="s">
        <v>57</v>
      </c>
      <c r="D92" s="127" t="s">
        <v>135</v>
      </c>
      <c r="E92" s="128"/>
      <c r="F92" s="129"/>
      <c r="G92" s="90" t="s">
        <v>57</v>
      </c>
    </row>
    <row r="93" spans="3:7">
      <c r="C93" s="34" t="str">
        <f>Fixtures!D114</f>
        <v>Mick Hammonds</v>
      </c>
      <c r="D93" s="6">
        <f>Fixtures!E114</f>
        <v>1</v>
      </c>
      <c r="E93" s="6" t="str">
        <f>Fixtures!F114</f>
        <v>vs</v>
      </c>
      <c r="F93" s="6">
        <f>Fixtures!G114</f>
        <v>3</v>
      </c>
      <c r="G93" s="35" t="str">
        <f>Fixtures!H114</f>
        <v>Chris Short</v>
      </c>
    </row>
    <row r="94" spans="3:7">
      <c r="C94" s="65" t="str">
        <f>Fixtures!D115</f>
        <v>Justin Scott</v>
      </c>
      <c r="D94" s="32">
        <f>Fixtures!E115</f>
        <v>1</v>
      </c>
      <c r="E94" s="32" t="str">
        <f>Fixtures!F115</f>
        <v>vs</v>
      </c>
      <c r="F94" s="32">
        <f>Fixtures!G115</f>
        <v>2</v>
      </c>
      <c r="G94" s="66" t="str">
        <f>Fixtures!H115</f>
        <v>Kevin Cordell</v>
      </c>
    </row>
    <row r="96" spans="3:7">
      <c r="C96" s="90" t="s">
        <v>57</v>
      </c>
      <c r="D96" s="127" t="s">
        <v>136</v>
      </c>
      <c r="E96" s="128"/>
      <c r="F96" s="129"/>
      <c r="G96" s="90" t="s">
        <v>57</v>
      </c>
    </row>
    <row r="97" spans="3:7">
      <c r="C97" s="65" t="str">
        <f>Fixtures!D120</f>
        <v xml:space="preserve">Chris Short </v>
      </c>
      <c r="D97" s="32">
        <f>Fixtures!E120</f>
        <v>0</v>
      </c>
      <c r="E97" s="32" t="str">
        <f>Fixtures!F120</f>
        <v>vs</v>
      </c>
      <c r="F97" s="32">
        <f>Fixtures!G120</f>
        <v>1</v>
      </c>
      <c r="G97" s="66" t="str">
        <f>Fixtures!H120</f>
        <v>Kevin Cordell</v>
      </c>
    </row>
    <row r="99" spans="3:7">
      <c r="C99" s="90" t="s">
        <v>57</v>
      </c>
      <c r="D99" s="127" t="s">
        <v>137</v>
      </c>
      <c r="E99" s="128"/>
      <c r="F99" s="129"/>
      <c r="G99" s="90" t="s">
        <v>57</v>
      </c>
    </row>
    <row r="100" spans="3:7">
      <c r="C100" s="34" t="str">
        <f>Fixtures!D79</f>
        <v>Stuart Briffett</v>
      </c>
      <c r="D100" s="6" t="str">
        <f>Fixtures!E79</f>
        <v>1 (0)</v>
      </c>
      <c r="E100" s="6" t="str">
        <f>Fixtures!F79</f>
        <v>vs</v>
      </c>
      <c r="F100" s="6" t="str">
        <f>Fixtures!G79</f>
        <v>1 (1)</v>
      </c>
      <c r="G100" s="35" t="str">
        <f>Fixtures!H79</f>
        <v>Dave Fletcher</v>
      </c>
    </row>
    <row r="101" spans="3:7">
      <c r="C101" s="37" t="str">
        <f>Fixtures!D80</f>
        <v>Nigel Morgan</v>
      </c>
      <c r="D101" s="13" t="str">
        <f>Fixtures!E80</f>
        <v>1 (1)</v>
      </c>
      <c r="E101" s="13" t="str">
        <f>Fixtures!F80</f>
        <v>vs</v>
      </c>
      <c r="F101" s="13" t="str">
        <f>Fixtures!G80</f>
        <v>1 (0)</v>
      </c>
      <c r="G101" s="38" t="str">
        <f>Fixtures!H80</f>
        <v>Rob Fitch</v>
      </c>
    </row>
    <row r="102" spans="3:7">
      <c r="C102" s="60" t="str">
        <f>Fixtures!D81</f>
        <v>Terry Arnold</v>
      </c>
      <c r="D102" s="20">
        <f>Fixtures!E81</f>
        <v>2</v>
      </c>
      <c r="E102" s="20" t="str">
        <f>Fixtures!F81</f>
        <v>vs</v>
      </c>
      <c r="F102" s="20">
        <f>Fixtures!G81</f>
        <v>1</v>
      </c>
      <c r="G102" s="61" t="str">
        <f>Fixtures!H81</f>
        <v>Joe Parody</v>
      </c>
    </row>
    <row r="103" spans="3:7" ht="15" thickBot="1"/>
    <row r="104" spans="3:7">
      <c r="C104" s="90" t="s">
        <v>57</v>
      </c>
      <c r="D104" s="127" t="s">
        <v>138</v>
      </c>
      <c r="E104" s="128"/>
      <c r="F104" s="129"/>
      <c r="G104" s="90" t="s">
        <v>57</v>
      </c>
    </row>
    <row r="105" spans="3:7">
      <c r="C105" s="34" t="str">
        <f>Fixtures!D88</f>
        <v>Connor Gregory</v>
      </c>
      <c r="D105" s="6">
        <f>Fixtures!E88</f>
        <v>7</v>
      </c>
      <c r="E105" s="6" t="str">
        <f>Fixtures!F88</f>
        <v>vs</v>
      </c>
      <c r="F105" s="6">
        <f>Fixtures!G88</f>
        <v>1</v>
      </c>
      <c r="G105" s="35" t="str">
        <f>Fixtures!H88</f>
        <v>Andy McGovern</v>
      </c>
    </row>
    <row r="106" spans="3:7">
      <c r="C106" s="37" t="str">
        <f>Fixtures!D89</f>
        <v>Adam Douglas</v>
      </c>
      <c r="D106" s="13">
        <f>Fixtures!E89</f>
        <v>2</v>
      </c>
      <c r="E106" s="13" t="str">
        <f>Fixtures!F89</f>
        <v>vs</v>
      </c>
      <c r="F106" s="13">
        <f>Fixtures!G89</f>
        <v>0</v>
      </c>
      <c r="G106" s="38" t="str">
        <f>Fixtures!H89</f>
        <v>Simon Hawley</v>
      </c>
    </row>
    <row r="107" spans="3:7">
      <c r="C107" s="60" t="str">
        <f>Fixtures!D90</f>
        <v>Malcolm Jamieson</v>
      </c>
      <c r="D107" s="20">
        <f>Fixtures!E90</f>
        <v>4</v>
      </c>
      <c r="E107" s="20" t="str">
        <f>Fixtures!F90</f>
        <v>vs</v>
      </c>
      <c r="F107" s="20">
        <f>Fixtures!G90</f>
        <v>0</v>
      </c>
      <c r="G107" s="61" t="str">
        <f>Fixtures!H90</f>
        <v>Alex Salter</v>
      </c>
    </row>
    <row r="108" spans="3:7">
      <c r="C108" s="60" t="str">
        <f>Fixtures!D91</f>
        <v>Simon McMurray</v>
      </c>
      <c r="D108" s="20">
        <f>Fixtures!E91</f>
        <v>0</v>
      </c>
      <c r="E108" s="20" t="str">
        <f>Fixtures!F91</f>
        <v>vs</v>
      </c>
      <c r="F108" s="20">
        <f>Fixtures!G91</f>
        <v>1</v>
      </c>
      <c r="G108" s="61" t="str">
        <f>Fixtures!H91</f>
        <v>Mark Weaver</v>
      </c>
    </row>
    <row r="109" spans="3:7">
      <c r="C109" s="37" t="str">
        <f>Fixtures!D98</f>
        <v>Rob Paterson</v>
      </c>
      <c r="D109" s="13" t="str">
        <f>Fixtures!E98</f>
        <v>1 (1)</v>
      </c>
      <c r="E109" s="13" t="str">
        <f>Fixtures!F98</f>
        <v>vs</v>
      </c>
      <c r="F109" s="13" t="str">
        <f>Fixtures!G98</f>
        <v>1 (0)</v>
      </c>
      <c r="G109" s="38" t="str">
        <f>Fixtures!H98</f>
        <v>Simon Bodily</v>
      </c>
    </row>
    <row r="110" spans="3:7">
      <c r="C110" s="37" t="str">
        <f>Fixtures!D99</f>
        <v>Richard Roper</v>
      </c>
      <c r="D110" s="13">
        <f>Fixtures!E99</f>
        <v>2</v>
      </c>
      <c r="E110" s="13" t="str">
        <f>Fixtures!F99</f>
        <v>vs</v>
      </c>
      <c r="F110" s="13">
        <f>Fixtures!G99</f>
        <v>0</v>
      </c>
      <c r="G110" s="38" t="str">
        <f>Fixtures!H99</f>
        <v>Dave Fletcher</v>
      </c>
    </row>
    <row r="111" spans="3:7">
      <c r="C111" s="60" t="str">
        <f>Fixtures!D100</f>
        <v>Rob Piggott</v>
      </c>
      <c r="D111" s="20">
        <f>Fixtures!E100</f>
        <v>1</v>
      </c>
      <c r="E111" s="20" t="str">
        <f>Fixtures!F100</f>
        <v>vs</v>
      </c>
      <c r="F111" s="20">
        <f>Fixtures!G100</f>
        <v>0</v>
      </c>
      <c r="G111" s="61" t="str">
        <f>Fixtures!H100</f>
        <v>Nigel Morgan</v>
      </c>
    </row>
    <row r="112" spans="3:7">
      <c r="C112" s="63" t="str">
        <f>Fixtures!D101</f>
        <v>Bob Fairbrother</v>
      </c>
      <c r="D112" s="27">
        <f>Fixtures!E101</f>
        <v>1</v>
      </c>
      <c r="E112" s="27" t="str">
        <f>Fixtures!F101</f>
        <v>vs</v>
      </c>
      <c r="F112" s="27">
        <f>Fixtures!G101</f>
        <v>0</v>
      </c>
      <c r="G112" s="64" t="str">
        <f>Fixtures!H101</f>
        <v>Terry Arnold</v>
      </c>
    </row>
    <row r="114" spans="3:7">
      <c r="C114" s="90" t="s">
        <v>57</v>
      </c>
      <c r="D114" s="127" t="s">
        <v>139</v>
      </c>
      <c r="E114" s="128"/>
      <c r="F114" s="129"/>
      <c r="G114" s="90" t="s">
        <v>57</v>
      </c>
    </row>
    <row r="115" spans="3:7">
      <c r="C115" s="34" t="str">
        <f>Fixtures!D108</f>
        <v>Connor Gregory</v>
      </c>
      <c r="D115" s="6">
        <f>Fixtures!E108</f>
        <v>0</v>
      </c>
      <c r="E115" s="6" t="str">
        <f>Fixtures!F108</f>
        <v>vs</v>
      </c>
      <c r="F115" s="6">
        <f>Fixtures!G108</f>
        <v>1</v>
      </c>
      <c r="G115" s="35" t="str">
        <f>Fixtures!H108</f>
        <v>Adam Douglas</v>
      </c>
    </row>
    <row r="116" spans="3:7">
      <c r="C116" s="37" t="str">
        <f>Fixtures!D109</f>
        <v>Malcolm Jamieson</v>
      </c>
      <c r="D116" s="13">
        <f>Fixtures!E109</f>
        <v>2</v>
      </c>
      <c r="E116" s="13" t="str">
        <f>Fixtures!F109</f>
        <v>vs</v>
      </c>
      <c r="F116" s="13">
        <f>Fixtures!G109</f>
        <v>0</v>
      </c>
      <c r="G116" s="38" t="str">
        <f>Fixtures!H109</f>
        <v>Mark Weaver</v>
      </c>
    </row>
    <row r="117" spans="3:7">
      <c r="C117" s="60" t="str">
        <f>Fixtures!D110</f>
        <v>Rob Paterson</v>
      </c>
      <c r="D117" s="20">
        <f>Fixtures!E110</f>
        <v>1</v>
      </c>
      <c r="E117" s="20" t="str">
        <f>Fixtures!F110</f>
        <v>vs</v>
      </c>
      <c r="F117" s="20">
        <f>Fixtures!G110</f>
        <v>0</v>
      </c>
      <c r="G117" s="61" t="str">
        <f>Fixtures!H110</f>
        <v>Richard Roper</v>
      </c>
    </row>
    <row r="118" spans="3:7">
      <c r="C118" s="63" t="str">
        <f>Fixtures!D111</f>
        <v>Rob Piggott</v>
      </c>
      <c r="D118" s="27">
        <f>Fixtures!E111</f>
        <v>5</v>
      </c>
      <c r="E118" s="27" t="str">
        <f>Fixtures!F111</f>
        <v>vs</v>
      </c>
      <c r="F118" s="27">
        <f>Fixtures!G111</f>
        <v>3</v>
      </c>
      <c r="G118" s="64" t="str">
        <f>Fixtures!H111</f>
        <v>Bob Fairbrother</v>
      </c>
    </row>
    <row r="120" spans="3:7">
      <c r="C120" s="90" t="s">
        <v>57</v>
      </c>
      <c r="D120" s="127" t="s">
        <v>140</v>
      </c>
      <c r="E120" s="128"/>
      <c r="F120" s="129"/>
      <c r="G120" s="90" t="s">
        <v>57</v>
      </c>
    </row>
    <row r="121" spans="3:7">
      <c r="C121" s="34" t="str">
        <f>Fixtures!D116</f>
        <v xml:space="preserve">Adam Douglas </v>
      </c>
      <c r="D121" s="6">
        <f>Fixtures!E116</f>
        <v>0</v>
      </c>
      <c r="E121" s="6" t="str">
        <f>Fixtures!F116</f>
        <v>vs</v>
      </c>
      <c r="F121" s="6">
        <f>Fixtures!G116</f>
        <v>2</v>
      </c>
      <c r="G121" s="35" t="str">
        <f>Fixtures!H116</f>
        <v>Malcolm Jamieson</v>
      </c>
    </row>
    <row r="122" spans="3:7">
      <c r="C122" s="65" t="str">
        <f>Fixtures!D117</f>
        <v>Rob Paterson</v>
      </c>
      <c r="D122" s="32">
        <f>Fixtures!E117</f>
        <v>3</v>
      </c>
      <c r="E122" s="32" t="str">
        <f>Fixtures!F117</f>
        <v>vs</v>
      </c>
      <c r="F122" s="32">
        <f>Fixtures!G117</f>
        <v>0</v>
      </c>
      <c r="G122" s="66" t="str">
        <f>Fixtures!H117</f>
        <v>Rob Piggott</v>
      </c>
    </row>
    <row r="124" spans="3:7">
      <c r="C124" s="90" t="s">
        <v>57</v>
      </c>
      <c r="D124" s="127" t="s">
        <v>141</v>
      </c>
      <c r="E124" s="128"/>
      <c r="F124" s="129"/>
      <c r="G124" s="90" t="s">
        <v>57</v>
      </c>
    </row>
    <row r="125" spans="3:7">
      <c r="C125" s="65" t="str">
        <f>Fixtures!D121</f>
        <v xml:space="preserve">Malcolm Jamieson </v>
      </c>
      <c r="D125" s="32">
        <f>Fixtures!E121</f>
        <v>1</v>
      </c>
      <c r="E125" s="32" t="str">
        <f>Fixtures!F121</f>
        <v>vs</v>
      </c>
      <c r="F125" s="32">
        <f>Fixtures!G121</f>
        <v>2</v>
      </c>
      <c r="G125" s="66" t="str">
        <f>Fixtures!H121</f>
        <v xml:space="preserve">Rob Paterson </v>
      </c>
    </row>
  </sheetData>
  <mergeCells count="46">
    <mergeCell ref="B43:B48"/>
    <mergeCell ref="D99:F99"/>
    <mergeCell ref="D104:F104"/>
    <mergeCell ref="D96:F96"/>
    <mergeCell ref="D76:F76"/>
    <mergeCell ref="D86:F86"/>
    <mergeCell ref="D92:F92"/>
    <mergeCell ref="B49:B54"/>
    <mergeCell ref="B61:B66"/>
    <mergeCell ref="D68:F68"/>
    <mergeCell ref="B3:B7"/>
    <mergeCell ref="B8:B12"/>
    <mergeCell ref="B13:B18"/>
    <mergeCell ref="B25:B30"/>
    <mergeCell ref="B37:B42"/>
    <mergeCell ref="B19:B24"/>
    <mergeCell ref="B31:B36"/>
    <mergeCell ref="S19:AA19"/>
    <mergeCell ref="I3:Q3"/>
    <mergeCell ref="I13:Q13"/>
    <mergeCell ref="I19:Q19"/>
    <mergeCell ref="I25:Q25"/>
    <mergeCell ref="D2:F2"/>
    <mergeCell ref="S3:AA3"/>
    <mergeCell ref="I8:Q8"/>
    <mergeCell ref="S8:AA8"/>
    <mergeCell ref="S13:AA13"/>
    <mergeCell ref="C11:G12"/>
    <mergeCell ref="C6:G7"/>
    <mergeCell ref="I43:Q43"/>
    <mergeCell ref="S37:AA37"/>
    <mergeCell ref="S43:AA43"/>
    <mergeCell ref="S25:AA25"/>
    <mergeCell ref="S31:AA31"/>
    <mergeCell ref="I31:Q31"/>
    <mergeCell ref="I37:Q37"/>
    <mergeCell ref="I49:Q49"/>
    <mergeCell ref="S49:AA49"/>
    <mergeCell ref="B55:B60"/>
    <mergeCell ref="I55:Q55"/>
    <mergeCell ref="S55:AA55"/>
    <mergeCell ref="D120:F120"/>
    <mergeCell ref="D124:F124"/>
    <mergeCell ref="I61:Q61"/>
    <mergeCell ref="S61:AA61"/>
    <mergeCell ref="D114:F11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D4F46F-73AE-49CB-9C2B-CCE2204020A3}">
  <dimension ref="B1:E13"/>
  <sheetViews>
    <sheetView zoomScale="160" zoomScaleNormal="160" workbookViewId="0">
      <selection activeCell="E5" sqref="D5:E5"/>
    </sheetView>
  </sheetViews>
  <sheetFormatPr defaultRowHeight="14.45"/>
  <cols>
    <col min="2" max="2" width="6.28515625" bestFit="1" customWidth="1"/>
    <col min="3" max="4" width="16.7109375" customWidth="1"/>
    <col min="5" max="5" width="10.5703125" bestFit="1" customWidth="1"/>
  </cols>
  <sheetData>
    <row r="1" spans="2:5" ht="15" thickBot="1"/>
    <row r="2" spans="2:5">
      <c r="B2" s="102" t="s">
        <v>142</v>
      </c>
      <c r="C2" s="103" t="s">
        <v>143</v>
      </c>
      <c r="D2" s="103" t="s">
        <v>144</v>
      </c>
      <c r="E2" s="104" t="s">
        <v>145</v>
      </c>
    </row>
    <row r="3" spans="2:5">
      <c r="B3" s="105" t="s">
        <v>1</v>
      </c>
      <c r="C3" s="101" t="str">
        <f>Results!J5</f>
        <v>Chris Short</v>
      </c>
      <c r="D3" s="101" t="str">
        <f>Results!J6</f>
        <v>Darren Barnes</v>
      </c>
      <c r="E3" s="107">
        <v>5</v>
      </c>
    </row>
    <row r="4" spans="2:5">
      <c r="B4" s="105" t="s">
        <v>2</v>
      </c>
      <c r="C4" s="101" t="str">
        <f>Results!J10</f>
        <v>Kevin Cordell</v>
      </c>
      <c r="D4" s="101" t="str">
        <f>Results!J11</f>
        <v>Jason Christopher</v>
      </c>
      <c r="E4" s="107">
        <v>10</v>
      </c>
    </row>
    <row r="5" spans="2:5">
      <c r="B5" s="105" t="s">
        <v>3</v>
      </c>
      <c r="C5" s="101" t="str">
        <f>Results!J15</f>
        <v>Rudi Peters</v>
      </c>
      <c r="D5" s="101" t="str">
        <f>Results!J16</f>
        <v>Adam Wells</v>
      </c>
      <c r="E5" s="107">
        <v>2</v>
      </c>
    </row>
    <row r="6" spans="2:5">
      <c r="B6" s="105" t="s">
        <v>4</v>
      </c>
      <c r="C6" s="101" t="str">
        <f>Results!J21</f>
        <v>Mick Hammonds</v>
      </c>
      <c r="D6" s="101" t="str">
        <f>Results!J22</f>
        <v>Gage Badger</v>
      </c>
      <c r="E6" s="107">
        <v>9</v>
      </c>
    </row>
    <row r="7" spans="2:5">
      <c r="B7" s="105" t="s">
        <v>19</v>
      </c>
      <c r="C7" s="101" t="str">
        <f>Results!J27</f>
        <v>Aaron Skinner</v>
      </c>
      <c r="D7" s="101" t="str">
        <f>Results!J28</f>
        <v>Justin Scott</v>
      </c>
      <c r="E7" s="107">
        <v>1</v>
      </c>
    </row>
    <row r="8" spans="2:5">
      <c r="B8" s="105" t="s">
        <v>20</v>
      </c>
      <c r="C8" s="101" t="str">
        <f>Results!J33</f>
        <v>Richard Badger</v>
      </c>
      <c r="D8" s="101" t="str">
        <f>Results!J34</f>
        <v>Tony Banks</v>
      </c>
      <c r="E8" s="107">
        <v>7</v>
      </c>
    </row>
    <row r="9" spans="2:5">
      <c r="B9" s="105" t="s">
        <v>21</v>
      </c>
      <c r="C9" s="101" t="str">
        <f>Results!J39</f>
        <v>Kye Arnold</v>
      </c>
      <c r="D9" s="101" t="str">
        <f>Results!J40</f>
        <v>Ian Sharp</v>
      </c>
      <c r="E9" s="107">
        <v>6</v>
      </c>
    </row>
    <row r="10" spans="2:5">
      <c r="B10" s="105" t="s">
        <v>22</v>
      </c>
      <c r="C10" s="101" t="str">
        <f>Results!J45</f>
        <v>Marco Ghigliotti</v>
      </c>
      <c r="D10" s="101" t="str">
        <f>Results!J46</f>
        <v>Jamie Warren</v>
      </c>
      <c r="E10" s="107">
        <v>4</v>
      </c>
    </row>
    <row r="11" spans="2:5">
      <c r="B11" s="105" t="s">
        <v>39</v>
      </c>
      <c r="C11" s="101" t="str">
        <f>Results!J51</f>
        <v>Victor Jones</v>
      </c>
      <c r="D11" s="101" t="str">
        <f>Results!J52</f>
        <v>Alan Lee</v>
      </c>
      <c r="E11" s="107">
        <v>3</v>
      </c>
    </row>
    <row r="12" spans="2:5">
      <c r="B12" s="105" t="s">
        <v>40</v>
      </c>
      <c r="C12" s="101" t="str">
        <f>Results!J57</f>
        <v>Paul Andreas</v>
      </c>
      <c r="D12" s="101" t="str">
        <f>Results!J58</f>
        <v>Simon Goodman</v>
      </c>
      <c r="E12" s="107">
        <v>11</v>
      </c>
    </row>
    <row r="13" spans="2:5" ht="15" thickBot="1">
      <c r="B13" s="106" t="s">
        <v>41</v>
      </c>
      <c r="C13" s="91" t="str">
        <f>Results!J63</f>
        <v>Panos Stemitsiotis</v>
      </c>
      <c r="D13" s="91" t="str">
        <f>Results!J64</f>
        <v>Steve Wonnacott</v>
      </c>
      <c r="E13" s="108">
        <v>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AFCCC-569F-4F43-894B-B040C03688C3}">
  <dimension ref="A1:B45"/>
  <sheetViews>
    <sheetView zoomScale="220" zoomScaleNormal="220" workbookViewId="0">
      <selection activeCell="A4" sqref="A4"/>
    </sheetView>
  </sheetViews>
  <sheetFormatPr defaultColWidth="8.85546875" defaultRowHeight="14.45"/>
  <cols>
    <col min="1" max="1" width="16.140625" style="97" bestFit="1" customWidth="1"/>
    <col min="2" max="2" width="12.5703125" style="100" customWidth="1"/>
    <col min="3" max="16384" width="8.85546875" style="97"/>
  </cols>
  <sheetData>
    <row r="1" spans="1:2">
      <c r="A1" s="98" t="s">
        <v>104</v>
      </c>
      <c r="B1" s="99" t="s">
        <v>146</v>
      </c>
    </row>
    <row r="2" spans="1:2">
      <c r="A2" s="97" t="s">
        <v>5</v>
      </c>
      <c r="B2" s="100">
        <v>1</v>
      </c>
    </row>
    <row r="3" spans="1:2">
      <c r="A3" s="97" t="s">
        <v>6</v>
      </c>
      <c r="B3" s="100">
        <v>2</v>
      </c>
    </row>
    <row r="4" spans="1:2">
      <c r="A4" s="97" t="s">
        <v>7</v>
      </c>
      <c r="B4" s="100">
        <v>3</v>
      </c>
    </row>
    <row r="5" spans="1:2">
      <c r="A5" s="97" t="s">
        <v>8</v>
      </c>
      <c r="B5" s="100">
        <v>4</v>
      </c>
    </row>
    <row r="6" spans="1:2">
      <c r="A6" s="97" t="s">
        <v>23</v>
      </c>
      <c r="B6" s="100">
        <v>5</v>
      </c>
    </row>
    <row r="7" spans="1:2">
      <c r="A7" s="97" t="s">
        <v>24</v>
      </c>
      <c r="B7" s="100">
        <v>6</v>
      </c>
    </row>
    <row r="8" spans="1:2">
      <c r="A8" s="97" t="s">
        <v>25</v>
      </c>
      <c r="B8" s="100">
        <v>7</v>
      </c>
    </row>
    <row r="9" spans="1:2">
      <c r="A9" s="97" t="s">
        <v>26</v>
      </c>
      <c r="B9" s="100">
        <v>8</v>
      </c>
    </row>
    <row r="10" spans="1:2">
      <c r="A10" s="97" t="s">
        <v>43</v>
      </c>
      <c r="B10" s="100">
        <v>9</v>
      </c>
    </row>
    <row r="11" spans="1:2">
      <c r="A11" s="97" t="s">
        <v>44</v>
      </c>
      <c r="B11" s="100">
        <v>10</v>
      </c>
    </row>
    <row r="12" spans="1:2">
      <c r="A12" s="97" t="s">
        <v>45</v>
      </c>
      <c r="B12" s="100">
        <v>11</v>
      </c>
    </row>
    <row r="13" spans="1:2">
      <c r="A13" s="97" t="s">
        <v>49</v>
      </c>
    </row>
    <row r="14" spans="1:2">
      <c r="A14" s="97" t="s">
        <v>15</v>
      </c>
    </row>
    <row r="15" spans="1:2">
      <c r="A15" s="97" t="s">
        <v>46</v>
      </c>
    </row>
    <row r="16" spans="1:2">
      <c r="A16" s="97" t="s">
        <v>28</v>
      </c>
    </row>
    <row r="17" spans="1:1">
      <c r="A17" s="97" t="s">
        <v>18</v>
      </c>
    </row>
    <row r="18" spans="1:1">
      <c r="A18" s="97" t="s">
        <v>33</v>
      </c>
    </row>
    <row r="19" spans="1:1">
      <c r="A19" s="97" t="s">
        <v>34</v>
      </c>
    </row>
    <row r="20" spans="1:1">
      <c r="A20" s="97" t="s">
        <v>13</v>
      </c>
    </row>
    <row r="21" spans="1:1">
      <c r="A21" s="97" t="s">
        <v>52</v>
      </c>
    </row>
    <row r="22" spans="1:1">
      <c r="A22" s="97" t="s">
        <v>16</v>
      </c>
    </row>
    <row r="23" spans="1:1">
      <c r="A23" s="97" t="s">
        <v>37</v>
      </c>
    </row>
    <row r="24" spans="1:1">
      <c r="A24" s="97" t="s">
        <v>30</v>
      </c>
    </row>
    <row r="25" spans="1:1">
      <c r="A25" s="97" t="s">
        <v>10</v>
      </c>
    </row>
    <row r="26" spans="1:1">
      <c r="A26" s="97" t="s">
        <v>54</v>
      </c>
    </row>
    <row r="27" spans="1:1">
      <c r="A27" s="97" t="s">
        <v>35</v>
      </c>
    </row>
    <row r="28" spans="1:1">
      <c r="A28" s="97" t="s">
        <v>50</v>
      </c>
    </row>
    <row r="29" spans="1:1">
      <c r="A29" s="97" t="s">
        <v>29</v>
      </c>
    </row>
    <row r="30" spans="1:1">
      <c r="A30" s="97" t="s">
        <v>14</v>
      </c>
    </row>
    <row r="31" spans="1:1">
      <c r="A31" s="97" t="s">
        <v>48</v>
      </c>
    </row>
    <row r="32" spans="1:1">
      <c r="A32" s="97" t="s">
        <v>31</v>
      </c>
    </row>
    <row r="33" spans="1:1">
      <c r="A33" s="97" t="s">
        <v>47</v>
      </c>
    </row>
    <row r="34" spans="1:1">
      <c r="A34" s="97" t="s">
        <v>12</v>
      </c>
    </row>
    <row r="35" spans="1:1">
      <c r="A35" s="97" t="s">
        <v>32</v>
      </c>
    </row>
    <row r="36" spans="1:1">
      <c r="A36" s="97" t="s">
        <v>38</v>
      </c>
    </row>
    <row r="37" spans="1:1">
      <c r="A37" s="97" t="s">
        <v>53</v>
      </c>
    </row>
    <row r="38" spans="1:1">
      <c r="A38" s="97" t="s">
        <v>27</v>
      </c>
    </row>
    <row r="39" spans="1:1">
      <c r="A39" s="97" t="s">
        <v>51</v>
      </c>
    </row>
    <row r="40" spans="1:1">
      <c r="A40" s="97" t="s">
        <v>9</v>
      </c>
    </row>
    <row r="41" spans="1:1">
      <c r="A41" s="97" t="s">
        <v>11</v>
      </c>
    </row>
    <row r="42" spans="1:1">
      <c r="A42" s="97" t="s">
        <v>36</v>
      </c>
    </row>
    <row r="45" spans="1:1" ht="15" customHeight="1"/>
  </sheetData>
  <autoFilter ref="A1:B1" xr:uid="{854AFCCC-569F-4F43-894B-B040C03688C3}">
    <sortState xmlns:xlrd2="http://schemas.microsoft.com/office/spreadsheetml/2017/richdata2" ref="A2:B43">
      <sortCondition ref="B1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Kye Arnold</dc:creator>
  <cp:keywords/>
  <dc:description/>
  <cp:lastModifiedBy>Kye Arnold</cp:lastModifiedBy>
  <cp:revision/>
  <dcterms:created xsi:type="dcterms:W3CDTF">2023-11-09T23:47:58Z</dcterms:created>
  <dcterms:modified xsi:type="dcterms:W3CDTF">2025-10-20T07:29:59Z</dcterms:modified>
  <cp:category/>
  <cp:contentStatus/>
</cp:coreProperties>
</file>